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usupprod-my.sharepoint.com/personal/jigger_diaz_my_cfs_com_au/Documents/Desktop/Edge/"/>
    </mc:Choice>
  </mc:AlternateContent>
  <xr:revisionPtr revIDLastSave="2" documentId="8_{18902189-AB55-40FD-9AFF-8D6A9475B013}" xr6:coauthVersionLast="47" xr6:coauthVersionMax="47" xr10:uidLastSave="{621F4923-9CC1-4544-B29D-BF5E687FCA1F}"/>
  <bookViews>
    <workbookView xWindow="28680" yWindow="-45" windowWidth="29040" windowHeight="15720" xr2:uid="{00000000-000D-0000-FFFF-FFFF00000000}"/>
  </bookViews>
  <sheets>
    <sheet name="Managed Funds" sheetId="1" r:id="rId1"/>
    <sheet name="Wholesale Investments" sheetId="6" r:id="rId2"/>
    <sheet name="Managed Accounts" sheetId="2" r:id="rId3"/>
    <sheet name="Australian Listed Securities" sheetId="3" r:id="rId4"/>
    <sheet name="International Listed Securities" sheetId="4" r:id="rId5"/>
    <sheet name="Available Currencies" sheetId="5" r:id="rId6"/>
  </sheets>
  <definedNames>
    <definedName name="_xlnm._FilterDatabase" localSheetId="3" hidden="1">'Australian Listed Securities'!$A$12:$P$12</definedName>
    <definedName name="_xlnm._FilterDatabase" localSheetId="4" hidden="1">'International Listed Securities'!$A$13:$G$849</definedName>
    <definedName name="_xlnm._FilterDatabase" localSheetId="2" hidden="1">'Managed Accounts'!#REF!</definedName>
    <definedName name="_xlnm._FilterDatabase" localSheetId="0" hidden="1">'Managed Funds'!$A$13:$Q$733</definedName>
    <definedName name="_xlnm._FilterDatabase" localSheetId="1" hidden="1">'Wholesale Investments'!$A$13:$G$37</definedName>
    <definedName name="_xlnm.Print_Titles" localSheetId="3">'Australian Listed Securities'!$9:$12</definedName>
    <definedName name="_xlnm.Print_Titles" localSheetId="2">'Managed Accounts'!$10:$13</definedName>
    <definedName name="_xlnm.Print_Titles" localSheetId="0">'Managed Funds'!$10:$13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 l="1"/>
  <c r="I631" i="1"/>
  <c r="H30" i="3"/>
  <c r="H31" i="3"/>
  <c r="H47" i="3"/>
  <c r="H53" i="3"/>
  <c r="H57" i="3"/>
  <c r="H77" i="3"/>
  <c r="H83" i="3"/>
  <c r="H84" i="3"/>
  <c r="H87" i="3"/>
  <c r="H145" i="3"/>
  <c r="H156" i="3"/>
  <c r="H157" i="3"/>
  <c r="H172"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9" i="3"/>
  <c r="H270" i="3"/>
  <c r="H345" i="3"/>
  <c r="H346" i="3"/>
  <c r="H376" i="3"/>
  <c r="H398" i="3"/>
  <c r="H413" i="3"/>
  <c r="H419" i="3"/>
  <c r="H420" i="3"/>
  <c r="H448" i="3"/>
  <c r="H449" i="3"/>
  <c r="H467" i="3"/>
  <c r="H468" i="3"/>
  <c r="H469" i="3"/>
  <c r="H481" i="3"/>
  <c r="H483" i="3"/>
  <c r="H496" i="3"/>
  <c r="H497"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75" i="3"/>
  <c r="H576" i="3"/>
  <c r="H577" i="3"/>
  <c r="H595" i="3"/>
  <c r="H622"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80" i="3"/>
  <c r="H684" i="3"/>
  <c r="H685" i="3"/>
  <c r="H686" i="3"/>
  <c r="H687" i="3"/>
  <c r="H688" i="3"/>
  <c r="H689" i="3"/>
  <c r="H690" i="3"/>
  <c r="H708" i="3"/>
  <c r="H735" i="3"/>
  <c r="H736" i="3"/>
  <c r="H751" i="3"/>
  <c r="H752" i="3"/>
  <c r="H753" i="3"/>
  <c r="H758" i="3"/>
  <c r="H759" i="3"/>
  <c r="H762" i="3"/>
  <c r="H766" i="3"/>
  <c r="H769" i="3"/>
  <c r="H770" i="3"/>
  <c r="H771" i="3"/>
  <c r="H772" i="3"/>
  <c r="H797" i="3"/>
  <c r="H805" i="3"/>
  <c r="H813" i="3"/>
  <c r="H815" i="3"/>
  <c r="H818" i="3"/>
  <c r="H819" i="3"/>
  <c r="H820" i="3"/>
  <c r="H821" i="3"/>
  <c r="H921" i="3"/>
  <c r="H925" i="3"/>
  <c r="H928" i="3"/>
  <c r="H929" i="3"/>
  <c r="H987" i="3"/>
  <c r="H1005" i="3"/>
  <c r="H1006" i="3"/>
  <c r="H1007" i="3"/>
  <c r="H1019" i="3"/>
  <c r="H1020" i="3"/>
  <c r="H1021" i="3"/>
  <c r="H1022" i="3"/>
  <c r="H1055" i="3"/>
  <c r="H1056" i="3"/>
  <c r="H1057" i="3"/>
  <c r="H1058" i="3"/>
  <c r="H1059" i="3"/>
  <c r="H1060" i="3"/>
  <c r="H1061" i="3"/>
  <c r="H1062" i="3"/>
  <c r="H1063" i="3"/>
  <c r="H1064" i="3"/>
  <c r="H1065" i="3"/>
  <c r="H1066" i="3"/>
  <c r="H1067" i="3"/>
  <c r="H1068" i="3"/>
  <c r="H1069" i="3"/>
  <c r="H1070" i="3"/>
  <c r="H1117" i="3"/>
  <c r="H1136"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44" i="3"/>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A11" i="2"/>
  <c r="A11" i="4"/>
  <c r="A11" i="5"/>
</calcChain>
</file>

<file path=xl/sharedStrings.xml><?xml version="1.0" encoding="utf-8"?>
<sst xmlns="http://schemas.openxmlformats.org/spreadsheetml/2006/main" count="27924" uniqueCount="6316">
  <si>
    <t xml:space="preserve">The information in this document forms part of the CFS Edge Super and Pension Product Disclosure Statement (PDS) and CFS Edge Investments IDPS Guide. The CFS Edge Super and Pension PDS and CFS Edge Investments IDPS Guide are also made up of the Other Important Information brochure. This Investment list is updated weekly, please review the relevant disclosure document for the investment to ensure the most up to date fees and costs are considered.  </t>
  </si>
  <si>
    <t>Investment list</t>
  </si>
  <si>
    <t>As at 08 September 2025</t>
  </si>
  <si>
    <t>Investment category</t>
  </si>
  <si>
    <t>Fund name</t>
  </si>
  <si>
    <t>APIR code</t>
  </si>
  <si>
    <t>Eligible managed fund with no admin fee</t>
  </si>
  <si>
    <t>Distribution frequency</t>
  </si>
  <si>
    <t>Super/ Pension</t>
  </si>
  <si>
    <t>IDPS</t>
  </si>
  <si>
    <t>Diversification guideline (%)^</t>
  </si>
  <si>
    <t>TMD Document**</t>
  </si>
  <si>
    <t>Target market distribution conditions/restrictions**</t>
  </si>
  <si>
    <t>Target market: Short Investment Timeframe (&lt; 2 years)**</t>
  </si>
  <si>
    <t>Target market: Medium Investment Timeframe (&gt; 2 years)**</t>
  </si>
  <si>
    <t>Target market: Long Investment Timeframe (&gt; 8 years)**</t>
  </si>
  <si>
    <t>Target market: Low Risk &amp; Return Objective**</t>
  </si>
  <si>
    <t>Target market: Medium Risk &amp; Return Objective**</t>
  </si>
  <si>
    <t>Target market: High Risk &amp; Return Objective**</t>
  </si>
  <si>
    <t>Target market: Very High Risk &amp; Return Objective**</t>
  </si>
  <si>
    <t>Geared funds</t>
  </si>
  <si>
    <t>Ausbil Australian Geared Equity Fund AUD</t>
  </si>
  <si>
    <t>AAP0002AU</t>
  </si>
  <si>
    <t>Semi-Annually</t>
  </si>
  <si>
    <t>Yes</t>
  </si>
  <si>
    <t>Refer to TMD</t>
  </si>
  <si>
    <t>N</t>
  </si>
  <si>
    <t>Y</t>
  </si>
  <si>
    <t>Specialist share</t>
  </si>
  <si>
    <t>Ausbil 130/30 Focus Fund - Wholesale Class AUD</t>
  </si>
  <si>
    <t>AAP0008AU</t>
  </si>
  <si>
    <t>Australian share</t>
  </si>
  <si>
    <t>Ausbil Australian Active Equity Fund AUD</t>
  </si>
  <si>
    <t>AAP0103AU</t>
  </si>
  <si>
    <t>Australian share - small companies</t>
  </si>
  <si>
    <t>Ausbil Australian Emerging Leaders Fund AUD</t>
  </si>
  <si>
    <t>AAP0104AU</t>
  </si>
  <si>
    <t>Global property and infrastructure</t>
  </si>
  <si>
    <t>Ausbil Global Essential Infrastructure Fund - Unhedged AUD</t>
  </si>
  <si>
    <t>AAP3254AU</t>
  </si>
  <si>
    <t>Quarterly</t>
  </si>
  <si>
    <t>Ausbil Global Essential Infrastructure Fund - Hedged AUD</t>
  </si>
  <si>
    <t>AAP3601AU</t>
  </si>
  <si>
    <t>Ausbil Active Dividend Income Fund - Wholesale AUD</t>
  </si>
  <si>
    <t>AAP3656AU</t>
  </si>
  <si>
    <t>Monthly</t>
  </si>
  <si>
    <t>Ausbil Active Sustainable Equity Fund AUD</t>
  </si>
  <si>
    <t>AAP3940AU</t>
  </si>
  <si>
    <t>Ausbil Australian SmallCap Fund AUD</t>
  </si>
  <si>
    <t>AAP5529AU</t>
  </si>
  <si>
    <t>Ausbil Global SmallCap Fund AUD</t>
  </si>
  <si>
    <t>AAP8285AU</t>
  </si>
  <si>
    <t>Diversified fixed interest</t>
  </si>
  <si>
    <t>AB Dynamic Global Fixed Income Fund AUD</t>
  </si>
  <si>
    <t>ACM0001AU</t>
  </si>
  <si>
    <t>Lower volatility share</t>
  </si>
  <si>
    <t>AB Managed Volatility Equities Fund AUD</t>
  </si>
  <si>
    <t>ACM0006AU</t>
  </si>
  <si>
    <t>Global share</t>
  </si>
  <si>
    <t>AB Global Equities Fund AUD</t>
  </si>
  <si>
    <t>ACM0009AU</t>
  </si>
  <si>
    <t>Annually</t>
  </si>
  <si>
    <t>Only available to advised investors</t>
  </si>
  <si>
    <t>Maple-Brown Abbott Australian Share Fund Wholesale AUD</t>
  </si>
  <si>
    <t>ADV0046AU</t>
  </si>
  <si>
    <t>Conservative</t>
  </si>
  <si>
    <t>Advance Defensive Multi-Blend W AUD</t>
  </si>
  <si>
    <t>ADV0049AU</t>
  </si>
  <si>
    <t>Alternative Income</t>
  </si>
  <si>
    <t>Advance Balanced Multi-Blend W AUD</t>
  </si>
  <si>
    <t>ADV0050AU</t>
  </si>
  <si>
    <t>High Growth</t>
  </si>
  <si>
    <t>Advance Growth Multi-Blend W AUD</t>
  </si>
  <si>
    <t>ADV0085AU</t>
  </si>
  <si>
    <t>Advance High Growth Multi-Blend W AUD</t>
  </si>
  <si>
    <t>ADV0087AU</t>
  </si>
  <si>
    <t>Moderate</t>
  </si>
  <si>
    <t>Advance Moderate Multi-Blend W AUD</t>
  </si>
  <si>
    <t>ADV0091AU</t>
  </si>
  <si>
    <t>Australian Eagle Trust AUD</t>
  </si>
  <si>
    <t>ALR2783AU</t>
  </si>
  <si>
    <t>Australian property and infrastructure</t>
  </si>
  <si>
    <t>Macquarie Australian Listed Real Estate Fund Class A AUD^^</t>
  </si>
  <si>
    <t>AMP0255AU</t>
  </si>
  <si>
    <t>Australian Fixed Interest</t>
  </si>
  <si>
    <t>Macquarie Corporate Bond Fund Class A AUD</t>
  </si>
  <si>
    <t>AMP0557AU</t>
  </si>
  <si>
    <t>Macquarie Global Listed Real Estate Fund Class A AUD</t>
  </si>
  <si>
    <t>AMP0974AU</t>
  </si>
  <si>
    <t>Dexus Core Infrastructure Fund - Class A AUD</t>
  </si>
  <si>
    <t>AMP1179AU</t>
  </si>
  <si>
    <t>Fairview Equity Partners Emerging Co Fd AUD</t>
  </si>
  <si>
    <t>ANT0002AU</t>
  </si>
  <si>
    <t>Altrinsic Global Equities Trust AUD</t>
  </si>
  <si>
    <t>ANT0005AU</t>
  </si>
  <si>
    <t>OnePath Wholesale-Diversified Fixed Interest AUD</t>
  </si>
  <si>
    <t>ANZ0212AU</t>
  </si>
  <si>
    <t>Australia Pacific Pooled Fund AUD</t>
  </si>
  <si>
    <t>APM8830AU</t>
  </si>
  <si>
    <t>Dexus AREIT Fund AUD</t>
  </si>
  <si>
    <t>APN0008AU</t>
  </si>
  <si>
    <t>Dexus Global REIT Fund AUD</t>
  </si>
  <si>
    <t>APN4390AU</t>
  </si>
  <si>
    <t>BNP Paribas C WorldWide Global Equity Trust AUD</t>
  </si>
  <si>
    <t>ARO0006AU</t>
  </si>
  <si>
    <t>Smallco Investment Fund AUD</t>
  </si>
  <si>
    <t>ASC0001AU</t>
  </si>
  <si>
    <t>Smallco Broadcap AUD</t>
  </si>
  <si>
    <t>ASC0003AU</t>
  </si>
  <si>
    <t>Growth</t>
  </si>
  <si>
    <t>Australian Ethical Balanced Fund Wholesale AUD</t>
  </si>
  <si>
    <t>AUG0017AU</t>
  </si>
  <si>
    <t>Australian Ethical Australian Shares Fund Wholesale AUD</t>
  </si>
  <si>
    <t>AUG0018AU</t>
  </si>
  <si>
    <t>Australian Ethical Diversified Shares Fund Wholesale AUD</t>
  </si>
  <si>
    <t>AUG0019AU</t>
  </si>
  <si>
    <t>Platypus Australian Equities Fund - Wholesale Units AUD</t>
  </si>
  <si>
    <t>AUS0030AU</t>
  </si>
  <si>
    <t>Talaria Global Equity Fund AUD</t>
  </si>
  <si>
    <t>AUS0035AU</t>
  </si>
  <si>
    <t>AUI Healthcare Property Trust A AUD</t>
  </si>
  <si>
    <t>AUS0037AU</t>
  </si>
  <si>
    <t>High growth</t>
  </si>
  <si>
    <t>Pro-D High Growth AUD</t>
  </si>
  <si>
    <t>AUS0064AU</t>
  </si>
  <si>
    <t>Pro-D Balanced AUD</t>
  </si>
  <si>
    <t>AUS0066AU</t>
  </si>
  <si>
    <t>Pro-D Growth AUD</t>
  </si>
  <si>
    <t>AUS0068AU</t>
  </si>
  <si>
    <t>Altius Sustainable Bond Fund AUD</t>
  </si>
  <si>
    <t>AUS0071AU</t>
  </si>
  <si>
    <t>Australian Unity Healthcare Property Trust-WholesaleUnits AUD</t>
  </si>
  <si>
    <t>AUS0112AU</t>
  </si>
  <si>
    <t>BlackRock Diversified ESG Growth Fund Class D AUD</t>
  </si>
  <si>
    <t>BAR0813AU</t>
  </si>
  <si>
    <t>BlackRock Advantage Australian Equity Fund Class D AUD</t>
  </si>
  <si>
    <t>BAR0814AU</t>
  </si>
  <si>
    <t>BlackRock Advantage International Equity Fund AUD</t>
  </si>
  <si>
    <t>BAR0817AU</t>
  </si>
  <si>
    <t>Australian Equities Extension Fund AUD^^</t>
  </si>
  <si>
    <t>BEG0006AU</t>
  </si>
  <si>
    <t>Alternatives</t>
  </si>
  <si>
    <t>Multi Strategy Alternative Fund 2 AUD^^</t>
  </si>
  <si>
    <t>BEG0369AU</t>
  </si>
  <si>
    <t>Fixed Income Strategy 2 (FIS2) AUD^^</t>
  </si>
  <si>
    <t>BEG1275AU</t>
  </si>
  <si>
    <t>Vinva Global Alpha Extension Fund Class F Units AUD^^</t>
  </si>
  <si>
    <t>BEG1488AU</t>
  </si>
  <si>
    <t>Australian Small and Mid-Cap Fund AUD^^</t>
  </si>
  <si>
    <t>BEG4601AU</t>
  </si>
  <si>
    <t>Multi Asset Class Fund Class A Moderate AUD^^</t>
  </si>
  <si>
    <t>BEG6218AU</t>
  </si>
  <si>
    <t>Multi Asset Class Fund Class C Growth AUD^^</t>
  </si>
  <si>
    <t>BEG7053AU</t>
  </si>
  <si>
    <t>Multi Strategy Alternative Fund AUD^^</t>
  </si>
  <si>
    <t>BEG8635AU</t>
  </si>
  <si>
    <t>Multi Asset Class Fund Class B Balanced AUD^^</t>
  </si>
  <si>
    <t>BEG8738AU</t>
  </si>
  <si>
    <t>Vinva Global Alpha Extension Fund Class A Units AUD</t>
  </si>
  <si>
    <t>BEG8747AU</t>
  </si>
  <si>
    <t>Bennelong Australian Equities Fund AUD</t>
  </si>
  <si>
    <t>BFL0001AU</t>
  </si>
  <si>
    <t>Bennelong Concentrated Australian Eq Fd AUD</t>
  </si>
  <si>
    <t>BFL0002AU</t>
  </si>
  <si>
    <t>Bennelong ex-20 Australian Equities Fund AUD</t>
  </si>
  <si>
    <t>BFL0004AU</t>
  </si>
  <si>
    <t>Kardinia Long Short Fund AUD</t>
  </si>
  <si>
    <t>BFL0010AU</t>
  </si>
  <si>
    <t>4 Dimensions Global Infrastructure Fund (Unhedged) AUD</t>
  </si>
  <si>
    <t>BFL0019AU</t>
  </si>
  <si>
    <t>Quay Global Real Estate Fund (Unhedged) - Daily Series AUD</t>
  </si>
  <si>
    <t>BFL0020AU</t>
  </si>
  <si>
    <t>4D Global Infrastructure Fund (AUD Hedged) AUD</t>
  </si>
  <si>
    <t>BFL3306AU</t>
  </si>
  <si>
    <t>Quay Global Real Estate Fund (AUD Hedged) AUD</t>
  </si>
  <si>
    <t>BFL3333AU</t>
  </si>
  <si>
    <t>Bennelong Emerging Companies Fund AUD</t>
  </si>
  <si>
    <t>BFL3779AU</t>
  </si>
  <si>
    <t>iShares Global Bond Index Fund AUD</t>
  </si>
  <si>
    <t>BGL0008AU</t>
  </si>
  <si>
    <t>iShares Australian Equity Index Fund AUD</t>
  </si>
  <si>
    <t>BGL0034AU</t>
  </si>
  <si>
    <t>iShares Hedged International Equity Index Fund AUD</t>
  </si>
  <si>
    <t>BGL0044AU</t>
  </si>
  <si>
    <t>Australian fixed interest</t>
  </si>
  <si>
    <t>iShares Australian Bond Index Fund AUD</t>
  </si>
  <si>
    <t>BGL0105AU</t>
  </si>
  <si>
    <t>iShares International Equity Index Fund AUD</t>
  </si>
  <si>
    <t>BGL0106AU</t>
  </si>
  <si>
    <t>iShares Australian Listed Property Index Fund AUD</t>
  </si>
  <si>
    <t>BGL0108AU</t>
  </si>
  <si>
    <t>BlackRock Advantage Hedged International Equity Fund Class D AUD</t>
  </si>
  <si>
    <t>BGL0109AU</t>
  </si>
  <si>
    <t>Bombora Special Investments Growth Fund AUD*</t>
  </si>
  <si>
    <t>BIM8414AU</t>
  </si>
  <si>
    <t>No</t>
  </si>
  <si>
    <t>iShares Wholesale Australian Listed Property Index Fund Class S AUD</t>
  </si>
  <si>
    <t>BLK4709AU</t>
  </si>
  <si>
    <t>BlackRock Global Equity Signals Fund - Class D AUD</t>
  </si>
  <si>
    <t>BLK5937AU</t>
  </si>
  <si>
    <t>BlackRock Australian Alpha Tilts Fund - Class S Units AUD^^</t>
  </si>
  <si>
    <t>BLK6723AU</t>
  </si>
  <si>
    <t>iShares Global Listed Property Index Fund Hedged Class S Units AUD</t>
  </si>
  <si>
    <t>BLK9419AU</t>
  </si>
  <si>
    <t>Hyperion Australian Growth Companies Fund AUD</t>
  </si>
  <si>
    <t>BNT0003AU</t>
  </si>
  <si>
    <t>Hyperion Small Growth Companies Fund AUD</t>
  </si>
  <si>
    <t>BNT0101AU</t>
  </si>
  <si>
    <t>Bell Global Emerging Companies Fund AUD</t>
  </si>
  <si>
    <t>BPF0029AU</t>
  </si>
  <si>
    <t>Bell Global Emerging Companies Fund - Class B AUD^^</t>
  </si>
  <si>
    <t>BPF5718AU</t>
  </si>
  <si>
    <t>Bell Global High Conviction Fund - UnHedged AUD</t>
  </si>
  <si>
    <t>BPF6914AU</t>
  </si>
  <si>
    <t>BetaShares Custom Portfolio Solutions - Global Growth Fund AUD^^</t>
  </si>
  <si>
    <t>BSC0004AU</t>
  </si>
  <si>
    <t>Neutral</t>
  </si>
  <si>
    <t>Pendal Property Securities AUD</t>
  </si>
  <si>
    <t>BTA0061AU</t>
  </si>
  <si>
    <t>Pendal Sustainable Balanced Fund AUD</t>
  </si>
  <si>
    <t>BTA0122AU</t>
  </si>
  <si>
    <t>Pendal MidCap Fund AUD</t>
  </si>
  <si>
    <t>BTA0313AU</t>
  </si>
  <si>
    <t>Pendal Monthly Income Plus Fund AUD</t>
  </si>
  <si>
    <t>BTA0318AU</t>
  </si>
  <si>
    <t>Global share - emerging markets</t>
  </si>
  <si>
    <t>Pendal Global Emerging Markets Opportunities Fund - WS AUD</t>
  </si>
  <si>
    <t>BTA0419AU</t>
  </si>
  <si>
    <t>Pendal Sustainable Aust Fixed Interest AUD</t>
  </si>
  <si>
    <t>BTA0507AU</t>
  </si>
  <si>
    <t>CC JCB Active Bond Fund AUD</t>
  </si>
  <si>
    <t>CHN0005AU</t>
  </si>
  <si>
    <t>KKR Private Equity (K-PRIME) Fund (AUD) B AUD^^</t>
  </si>
  <si>
    <t>CHN0407AU</t>
  </si>
  <si>
    <t>KKR Private Equity (K-PRIME) Fund (AUD) A AUD</t>
  </si>
  <si>
    <t>CHN0548AU</t>
  </si>
  <si>
    <t>KKR Global Credit Opportunities Fund (AUD) Class A AUD</t>
  </si>
  <si>
    <t>CHN2049AU</t>
  </si>
  <si>
    <t>Goldman Sachs Asset Management International West Street European Private Credit Fund (AUD) A AUD</t>
  </si>
  <si>
    <t>CHN2106AU</t>
  </si>
  <si>
    <t>Oaktree Strategic Credit Fund (AUD) Class A AUD</t>
  </si>
  <si>
    <t>CHN2669AU</t>
  </si>
  <si>
    <t>CC JCB Active Bond Fund Class B AUD^^</t>
  </si>
  <si>
    <t>CHN3749AU</t>
  </si>
  <si>
    <t>Apollo Asset Backed Credit Trust (AUD) Class A AUD</t>
  </si>
  <si>
    <t>CHN5250AU</t>
  </si>
  <si>
    <t>CC Sage Capital Absolute Return Fund AUD</t>
  </si>
  <si>
    <t>CHN5843AU</t>
  </si>
  <si>
    <t>KKR Global Private Credit (KIT) Fund (AUD) Class A Units AUD</t>
  </si>
  <si>
    <t>CHN6906AU</t>
  </si>
  <si>
    <t>Blue Owl Credit Income Fund AUT - Class A AUD</t>
  </si>
  <si>
    <t>CHN8005AU</t>
  </si>
  <si>
    <t>CC JCB Dynamic Alpha Fund Class A AUD</t>
  </si>
  <si>
    <t>CHN8607AU</t>
  </si>
  <si>
    <t>CC Redwheel Global Emerging Markets Fund AUD</t>
  </si>
  <si>
    <t>CHN8850AU</t>
  </si>
  <si>
    <t>CC Sage Capital Equity Plus Fund AUD</t>
  </si>
  <si>
    <t>CHN8862AU</t>
  </si>
  <si>
    <t>Capital Group New Perspective Fund (AU) AUD</t>
  </si>
  <si>
    <t>CIM0006AU</t>
  </si>
  <si>
    <t>Capital Group New Perspective Fund Hedged (AU) AUD</t>
  </si>
  <si>
    <t>CIM0008AU</t>
  </si>
  <si>
    <t>Capital Group New World Fund (AU) AUD</t>
  </si>
  <si>
    <t>CIM8680AU</t>
  </si>
  <si>
    <t>First Sentier Australian Small Companies AUD</t>
  </si>
  <si>
    <t>CMI0111AU</t>
  </si>
  <si>
    <t>Invesco Wholesale Senior Secured Income Fund AUD</t>
  </si>
  <si>
    <t>CNA0805AU</t>
  </si>
  <si>
    <t>Invesco Wholesale Australian Share Fund AUD</t>
  </si>
  <si>
    <t>CNA0811AU</t>
  </si>
  <si>
    <t>Centuria Diversified Property Fund (Stapled) AUD</t>
  </si>
  <si>
    <t>CNT9370AU</t>
  </si>
  <si>
    <t>Charter Hall Maxim Property Securities Fund AUD</t>
  </si>
  <si>
    <t>COL0001AU</t>
  </si>
  <si>
    <t>Diversified real return</t>
  </si>
  <si>
    <t>Atrium Evolution Series Diversified - AEF 5 AUD</t>
  </si>
  <si>
    <t>COL0029AU</t>
  </si>
  <si>
    <t>Atrium Evolution Series Diversified - AEF 7 AUD</t>
  </si>
  <si>
    <t>COL0030AU</t>
  </si>
  <si>
    <t>Atrium Evolution Series Diversified - AEF 9 AUD</t>
  </si>
  <si>
    <t>COL0031AU</t>
  </si>
  <si>
    <t>Short duration fixed interest</t>
  </si>
  <si>
    <t>Smarter Money Fund Assisted Investor Class AUD</t>
  </si>
  <si>
    <t>CRE0014AU</t>
  </si>
  <si>
    <t>Abrdn Sustainable International Equities Fund AUD</t>
  </si>
  <si>
    <t>CRS0005AU</t>
  </si>
  <si>
    <t>Bentham Global Income Fund AUD</t>
  </si>
  <si>
    <t>CSA0038AU</t>
  </si>
  <si>
    <t>Bentham Syndicated Loan Fund AUD</t>
  </si>
  <si>
    <t>CSA0046AU</t>
  </si>
  <si>
    <t>SGH Australian Small Companies Fund AUD</t>
  </si>
  <si>
    <t>CSA0131AU</t>
  </si>
  <si>
    <t>Ironbark Robeco Global Developed Enhanced Index Equity Fund Class A (Unhedged) AUD</t>
  </si>
  <si>
    <t>DAM2442AU</t>
  </si>
  <si>
    <t>Ironbark GCM Global Macro Fund AUD</t>
  </si>
  <si>
    <t>DEU0109AU</t>
  </si>
  <si>
    <t>Dimensional Two-Year Sustainability Fixed Interest Trust AUD Class Unit AUD</t>
  </si>
  <si>
    <t>DFA0002AU</t>
  </si>
  <si>
    <t>Dimensional Australian Core Equity Trust AUD</t>
  </si>
  <si>
    <t>DFA0003AU</t>
  </si>
  <si>
    <t>Dimensional Global Core Equity Trust AUD</t>
  </si>
  <si>
    <t>DFA0004AU</t>
  </si>
  <si>
    <t>Dimensional Global Real Estate Trust AUD</t>
  </si>
  <si>
    <t>DFA0005AU</t>
  </si>
  <si>
    <t>Dimensional Global Core Equity Tr AUDHdg AUD</t>
  </si>
  <si>
    <t>DFA0009AU</t>
  </si>
  <si>
    <t>Dimensional Global Bond Trust AUD</t>
  </si>
  <si>
    <t>DFA0028AU</t>
  </si>
  <si>
    <t>Dimensional World Allocation 70/30 Trust AUD</t>
  </si>
  <si>
    <t>DFA0029AU</t>
  </si>
  <si>
    <t>Dimensional World Allocation 50/50 Trust AUD</t>
  </si>
  <si>
    <t>DFA0033AU</t>
  </si>
  <si>
    <t>Dimensional World Equity Trust AUD</t>
  </si>
  <si>
    <t>DFA0035AU</t>
  </si>
  <si>
    <t>Dimensional Global Sustainability Trust Unhedged AUD</t>
  </si>
  <si>
    <t>DFA0041AU</t>
  </si>
  <si>
    <t>Dimensional Global Sustainability Trust Hedged AUD</t>
  </si>
  <si>
    <t>DFA0042AU</t>
  </si>
  <si>
    <t>Cash and deposits</t>
  </si>
  <si>
    <t>Dimensional Short Term Fixed Interest Trust AUD</t>
  </si>
  <si>
    <t>DFA0100AU</t>
  </si>
  <si>
    <t>Dimensional Australian Value Trust - Active ETF AUD</t>
  </si>
  <si>
    <t>DFA0101AU</t>
  </si>
  <si>
    <t>Dimensional Global Value Trust -Active ETF AUD</t>
  </si>
  <si>
    <t>DFA0102AU</t>
  </si>
  <si>
    <t>Dimensional Australian Large Company Trust AUD^^</t>
  </si>
  <si>
    <t>DFA0103AU</t>
  </si>
  <si>
    <t>Dimensional Global Small Company Trust AUD</t>
  </si>
  <si>
    <t>DFA0106AU</t>
  </si>
  <si>
    <t>Dimensional Emerging Markets Value Trust AUD</t>
  </si>
  <si>
    <t>DFA0107AU</t>
  </si>
  <si>
    <t>Dimensional Five-Year Diversified Fixed Interest AUD</t>
  </si>
  <si>
    <t>DFA0108AU</t>
  </si>
  <si>
    <t>Dimensional Glbl Bond Sustainability AUD Class AUD</t>
  </si>
  <si>
    <t>DFA0642AU</t>
  </si>
  <si>
    <t>Dimensional Australian Sustainability AUD</t>
  </si>
  <si>
    <t>DFA2068AU</t>
  </si>
  <si>
    <t>Dimensional Sustainability World Allocation 70/30 Trust AUD</t>
  </si>
  <si>
    <t>DFA7518AU</t>
  </si>
  <si>
    <t>Dimensional World Allocation 30/70 AUD</t>
  </si>
  <si>
    <t>DFA8313AU</t>
  </si>
  <si>
    <t>Dimensional Emerging Markets Sustainability Trust AUD</t>
  </si>
  <si>
    <t>DFA8887AU</t>
  </si>
  <si>
    <t>Ellerston Australian Emerging Leaders Fund - Class A Units AUD</t>
  </si>
  <si>
    <t>ECL6748AU</t>
  </si>
  <si>
    <t>Eley Griffiths Group Small Companies Fund AUD</t>
  </si>
  <si>
    <t>EGG0001AU</t>
  </si>
  <si>
    <t>abrdn International Equity Fund AUD</t>
  </si>
  <si>
    <t>EQI0015AU</t>
  </si>
  <si>
    <t>PIMCO Australian Bond Fund Wholesale Class AUD</t>
  </si>
  <si>
    <t>ETL0015AU</t>
  </si>
  <si>
    <t>PIMCO Diversified Fixed Interest Fund Wholesale Class AUD</t>
  </si>
  <si>
    <t>ETL0016AU</t>
  </si>
  <si>
    <t>PIMCO Global Bond Fund Wholesale Class AUD</t>
  </si>
  <si>
    <t>ETL0018AU</t>
  </si>
  <si>
    <t>PIMCO Global Credit Fund Wholesale Class AUD</t>
  </si>
  <si>
    <t>ETL0019AU</t>
  </si>
  <si>
    <t>abrdn Sustainable Emerging Opportunities Fund AUD</t>
  </si>
  <si>
    <t>ETL0032AU</t>
  </si>
  <si>
    <t>MFS Hedged Global Equity Trust W AUD</t>
  </si>
  <si>
    <t>ETL0041AU</t>
  </si>
  <si>
    <t>Allan Gray Australia Equity A AUD</t>
  </si>
  <si>
    <t>ETL0060AU</t>
  </si>
  <si>
    <t>ICE Fund AUD</t>
  </si>
  <si>
    <t>ETL0062AU</t>
  </si>
  <si>
    <t>Ten Cap Alpha Plus Fund - Class A Units AUD^^</t>
  </si>
  <si>
    <t>ETL0069AU</t>
  </si>
  <si>
    <t>T. Rowe Price Global Equity Fund- I Class AUD</t>
  </si>
  <si>
    <t>ETL0071AU</t>
  </si>
  <si>
    <t>SGH Property Income Fund AUD</t>
  </si>
  <si>
    <t>ETL0119AU</t>
  </si>
  <si>
    <t>AXA IM Sustainable Equity Fund AUD</t>
  </si>
  <si>
    <t>ETL0171AU</t>
  </si>
  <si>
    <t>MFS Concentrated Global Equity Trust (Wholesale) AUD</t>
  </si>
  <si>
    <t>ETL0172AU</t>
  </si>
  <si>
    <t>PIMCO Australian Low Duration Bond Fund AUD</t>
  </si>
  <si>
    <t>ETL0182AU</t>
  </si>
  <si>
    <t>Alternative income</t>
  </si>
  <si>
    <t>Allan Gray Australia Stable Fund AUD</t>
  </si>
  <si>
    <t>ETL0273AU</t>
  </si>
  <si>
    <t>Partners Group Global Value Fund - Wholesale Units AUD</t>
  </si>
  <si>
    <t>ETL0276AU</t>
  </si>
  <si>
    <t>T. Rowe Price Global Equity (Hedged) Fund AUD</t>
  </si>
  <si>
    <t>ETL0312AU</t>
  </si>
  <si>
    <t>Janus Henderson Global Natural Resources Fund AUD</t>
  </si>
  <si>
    <t>ETL0331AU</t>
  </si>
  <si>
    <t>Allan Gray Australia Equity B AUD</t>
  </si>
  <si>
    <t>ETL0349AU</t>
  </si>
  <si>
    <t>SGH LaSalle Concentrated Global Property Fund AUD</t>
  </si>
  <si>
    <t>ETL0394AU</t>
  </si>
  <si>
    <t>T. Rowe Price Dynamic Global Bond Fund AUD</t>
  </si>
  <si>
    <t>ETL0398AU</t>
  </si>
  <si>
    <t>PAN-Tribal Global Equity Fund AUD</t>
  </si>
  <si>
    <t>ETL0419AU</t>
  </si>
  <si>
    <t>Partners Group Global Multi-Asset Fund AUD</t>
  </si>
  <si>
    <t>ETL0431AU</t>
  </si>
  <si>
    <t>PIMCO Income Fund Wholesale Class AUD</t>
  </si>
  <si>
    <t>ETL0458AU</t>
  </si>
  <si>
    <t>Orbis Global Equity Fund Retail Class AUD</t>
  </si>
  <si>
    <t>ETL0463AU</t>
  </si>
  <si>
    <t>Pzena Emerging Markets Value Fund Wholesale AUD</t>
  </si>
  <si>
    <t>ETL0483AU</t>
  </si>
  <si>
    <t>L1 Capital Long Short Fund - Daily Class AUD</t>
  </si>
  <si>
    <t>ETL0490AU</t>
  </si>
  <si>
    <t>Nanuk New World Fund (Currency Hedged) AUD</t>
  </si>
  <si>
    <t>ETL0535AU</t>
  </si>
  <si>
    <t>GQG Partners Global Equity Fund AUD Hedged Class AUD</t>
  </si>
  <si>
    <t>ETL0666AU</t>
  </si>
  <si>
    <t>T. Rowe Price Global High Income I Class AUD</t>
  </si>
  <si>
    <t>ETL0793AU</t>
  </si>
  <si>
    <t>L1 Capital Catalyst Fund Daily Class AUD</t>
  </si>
  <si>
    <t>ETL1293AU</t>
  </si>
  <si>
    <t>Neuberger Berman Strategic Income Fund Wholesale/Retail class AUD</t>
  </si>
  <si>
    <t>ETL1411AU</t>
  </si>
  <si>
    <t>T. Rowe Price Global Equity (Hedged) Fund M Class AUD^^</t>
  </si>
  <si>
    <t>ETL1864AU</t>
  </si>
  <si>
    <t>L1 Capital International Fund Daily Class AUD</t>
  </si>
  <si>
    <t>ETL1954AU</t>
  </si>
  <si>
    <t>Coolabah Active Composite Bond Fund AUD</t>
  </si>
  <si>
    <t>ETL2716AU</t>
  </si>
  <si>
    <t>Alexander Credit Income Fund AUD</t>
  </si>
  <si>
    <t>ETL2805AU</t>
  </si>
  <si>
    <t>GQG Partners Global Equity Fund Z Class AUD^^</t>
  </si>
  <si>
    <t>ETL2869AU</t>
  </si>
  <si>
    <t>Colchester Emerging Markets Bond Fund - Class I AUD</t>
  </si>
  <si>
    <t>ETL3065AU</t>
  </si>
  <si>
    <t>Coller Private Equity Secondaries Fund Class A - Accumulating AUD</t>
  </si>
  <si>
    <t>ETL3440AU</t>
  </si>
  <si>
    <t>None</t>
  </si>
  <si>
    <t>Orbis Global Equity LE Fund (Australia Registered) Retail Class AUD</t>
  </si>
  <si>
    <t>ETL3523AU</t>
  </si>
  <si>
    <t>BNP Paribas C WorldWide Global Equity Trust (Hedged) AUD</t>
  </si>
  <si>
    <t>ETL3560AU</t>
  </si>
  <si>
    <t>Ashmore Emerging Markets Equity Fund AUD</t>
  </si>
  <si>
    <t>ETL3590AU</t>
  </si>
  <si>
    <t>GQG Partners Emerging Markets Equity Fund AUD</t>
  </si>
  <si>
    <t>ETL4207AU</t>
  </si>
  <si>
    <t>GQG Partners Emerging Markets Equity Fund Z Class AUD^^</t>
  </si>
  <si>
    <t>ETL4581AU</t>
  </si>
  <si>
    <t>Cordis Global Medical Technology Fund AUD</t>
  </si>
  <si>
    <t>ETL4642AU</t>
  </si>
  <si>
    <t>Allan Gray Australia Balanced Fund AUD</t>
  </si>
  <si>
    <t>ETL4654AU</t>
  </si>
  <si>
    <t>Coolabah Floating-Rate High Yield Fund (Managed Fund) Assisted Investor Class AUD</t>
  </si>
  <si>
    <t>ETL5010AU</t>
  </si>
  <si>
    <t>Colchester Global Government Bond Fund Class I AUD</t>
  </si>
  <si>
    <t>ETL5525AU</t>
  </si>
  <si>
    <t>MFS Global New Discovery Trust W AUD</t>
  </si>
  <si>
    <t>ETL6156AU</t>
  </si>
  <si>
    <t>Coolabah Floating-Rate High Yield Fund (Managed Fund) Institutional Class AUD^^</t>
  </si>
  <si>
    <t>ETL6855AU</t>
  </si>
  <si>
    <t>MFS Global Opportunistic Fixed Income Trust AUD</t>
  </si>
  <si>
    <t>ETL6870AU</t>
  </si>
  <si>
    <t>Milford Dynamic Small Companies Fund AUD</t>
  </si>
  <si>
    <t>ETL6978AU</t>
  </si>
  <si>
    <t>GQG Partners Global Equity Fund AUD</t>
  </si>
  <si>
    <t>ETL7377AU</t>
  </si>
  <si>
    <t>Coller Private Equity Secondaries Fund Class D - Distributing AUD</t>
  </si>
  <si>
    <t>ETL7857AU</t>
  </si>
  <si>
    <t>Neuberger Berman Global Private Equity Access Fund Unhedged class AUD</t>
  </si>
  <si>
    <t>ETL7896AU</t>
  </si>
  <si>
    <t>Elston Australian Emerging Leaders Fund Class A AUD</t>
  </si>
  <si>
    <t>ETL7964AU</t>
  </si>
  <si>
    <t>Paradice Equity Alpha Plus Fund AUD</t>
  </si>
  <si>
    <t>ETL8096AU</t>
  </si>
  <si>
    <t>Milford Australian Absolute Growth Fund W Class AUD</t>
  </si>
  <si>
    <t>ETL8155AU</t>
  </si>
  <si>
    <t>Impax Sustainable Leaders Fund Class A AUD</t>
  </si>
  <si>
    <t>ETL8171AU</t>
  </si>
  <si>
    <t>T. Rowe Price Global Equity Fund - M Class AUD^^</t>
  </si>
  <si>
    <t>ETL8482AU</t>
  </si>
  <si>
    <t>T. Rowe Price Concentrated Global Equity Fund - I Class AUD</t>
  </si>
  <si>
    <t>ETL8650AU</t>
  </si>
  <si>
    <t>Partners Group Next Generation Infrastructure Fund AUD</t>
  </si>
  <si>
    <t>ETL8803AU</t>
  </si>
  <si>
    <t>Paradice Australian Mid Cap Fund (A Class) AUD</t>
  </si>
  <si>
    <t>ETL9086AU</t>
  </si>
  <si>
    <t>Orbis Emerging Markets Equity Fund Retail Class AUD</t>
  </si>
  <si>
    <t>ETL9166AU</t>
  </si>
  <si>
    <t>Neuberger Berman Global High Yield Fund AUD</t>
  </si>
  <si>
    <t>ETL9987AU</t>
  </si>
  <si>
    <t>Metrics Direct Income Fund AUD</t>
  </si>
  <si>
    <t>EVO2608AU</t>
  </si>
  <si>
    <t>Pantheon Private Markets Fund Australia - Pantheon Global Evergreen Mid-Market Secondaries AUD</t>
  </si>
  <si>
    <t>EVO5616AU</t>
  </si>
  <si>
    <t>The Montgomery Fund AUD</t>
  </si>
  <si>
    <t>FHT0030AU</t>
  </si>
  <si>
    <t>Montgomery Small Companies Fund AUD</t>
  </si>
  <si>
    <t>FHT3726AU</t>
  </si>
  <si>
    <t>Fidelity Global Equities Fund AUD</t>
  </si>
  <si>
    <t>FID0007AU</t>
  </si>
  <si>
    <t>Fidelity Australian Equities Fund AUD</t>
  </si>
  <si>
    <t>FID0008AU</t>
  </si>
  <si>
    <t>Fidelity Asia Fund AUD</t>
  </si>
  <si>
    <t>FID0010AU</t>
  </si>
  <si>
    <t>Fidelity India Fund AUD</t>
  </si>
  <si>
    <t>FID0015AU</t>
  </si>
  <si>
    <t>Fidelity Australian High Conviction Fund AUD</t>
  </si>
  <si>
    <t>FID0021AU</t>
  </si>
  <si>
    <t>Fidelity Future Leaders Fund AUD</t>
  </si>
  <si>
    <t>FID0026AU</t>
  </si>
  <si>
    <t>Fidelity Global Emerging Markets Fund AUD</t>
  </si>
  <si>
    <t>FID0031AU</t>
  </si>
  <si>
    <t>Franklin Global Growth Fund (A Class) AUD</t>
  </si>
  <si>
    <t>FRT0009AU</t>
  </si>
  <si>
    <t>Franklin Global Growth Fund (M class) AUD^^</t>
  </si>
  <si>
    <t>FRT0010AU</t>
  </si>
  <si>
    <t>Franklin Templeton Global Aggregate Bond Fund A AUD</t>
  </si>
  <si>
    <t>FRT0025AU</t>
  </si>
  <si>
    <t>Franklin Australian Absolute Return Bd A AUD</t>
  </si>
  <si>
    <t>FRT0027AU</t>
  </si>
  <si>
    <t>First Sentier Australian Share AUD</t>
  </si>
  <si>
    <t>FSF0002AU</t>
  </si>
  <si>
    <t>First Sentier Imputation AUD</t>
  </si>
  <si>
    <t>FSF0003AU</t>
  </si>
  <si>
    <t>First Sentier Property Securities AUD</t>
  </si>
  <si>
    <t>FSF0004AU</t>
  </si>
  <si>
    <t>CFS FC WS Inv- Select Diversified AUD^^</t>
  </si>
  <si>
    <t>FSF0008AU</t>
  </si>
  <si>
    <t>First Sentier Concentrated Aus Share AUD</t>
  </si>
  <si>
    <t>FSF0016AU</t>
  </si>
  <si>
    <t>CFS FC WS Inv - Select Conservative AUD^^</t>
  </si>
  <si>
    <t>FSF0033AU</t>
  </si>
  <si>
    <t>CFS FC-Macquarie Dynamic Bond AUD</t>
  </si>
  <si>
    <t>FSF0039AU</t>
  </si>
  <si>
    <t>CFS FC WS Inv - Balanced Fund AUD^^</t>
  </si>
  <si>
    <t>FSF0040AU</t>
  </si>
  <si>
    <t>CFS MIF-Janus Henderson Global Natural Resources Fund AUD^^</t>
  </si>
  <si>
    <t>FSF0041AU</t>
  </si>
  <si>
    <t>CFS Geared Share AUD</t>
  </si>
  <si>
    <t>FSF0043AU</t>
  </si>
  <si>
    <t>CFS FC-Lazard Select Australian Equity AUD^^</t>
  </si>
  <si>
    <t>FSF0079AU</t>
  </si>
  <si>
    <t>CFS FC-Janus Henderson Diversified Credit AUD</t>
  </si>
  <si>
    <t>FSF0084AU</t>
  </si>
  <si>
    <t>CFS Geared Global Share AUD</t>
  </si>
  <si>
    <t>FSF0170AU</t>
  </si>
  <si>
    <t>CFS FC-Acadian Geared Core Australian Equity AUD</t>
  </si>
  <si>
    <t>FSF0453AU</t>
  </si>
  <si>
    <t>First Sentier Global Property Securities AUD</t>
  </si>
  <si>
    <t>FSF0454AU</t>
  </si>
  <si>
    <t>CFS FC-Longwave Australian Small Companies AUD</t>
  </si>
  <si>
    <t>FSF0468AU</t>
  </si>
  <si>
    <t>CFS Enhanced Index Conservative AUD</t>
  </si>
  <si>
    <t>FSF0471AU</t>
  </si>
  <si>
    <t>CFS Enhanced Index Diversified AUD</t>
  </si>
  <si>
    <t>FSF0472AU</t>
  </si>
  <si>
    <t>CFS Enhanced Index Balanced AUD</t>
  </si>
  <si>
    <t>FSF0476AU</t>
  </si>
  <si>
    <t>CFS Enhanced Index High Growth AUD</t>
  </si>
  <si>
    <t>FSF0477AU</t>
  </si>
  <si>
    <t>CFS Australian Share AUD</t>
  </si>
  <si>
    <t>FSF0485AU</t>
  </si>
  <si>
    <t>CFS Conservative AUD</t>
  </si>
  <si>
    <t>FSF0486AU</t>
  </si>
  <si>
    <t>Defensive</t>
  </si>
  <si>
    <t>CFS Defensive AUD</t>
  </si>
  <si>
    <t>FSF0487AU</t>
  </si>
  <si>
    <t>CFS Fixed Interest AUD</t>
  </si>
  <si>
    <t>FSF0488AU</t>
  </si>
  <si>
    <t>CFS Global Share AUD</t>
  </si>
  <si>
    <t>FSF0489AU</t>
  </si>
  <si>
    <t>CFS Growth AUD</t>
  </si>
  <si>
    <t>FSF0490AU</t>
  </si>
  <si>
    <t>CFS FC WS Inv - Select High Growth AUD^^</t>
  </si>
  <si>
    <t>FSF0498AU</t>
  </si>
  <si>
    <t>CFS High Growth AUD</t>
  </si>
  <si>
    <t>FSF0499AU</t>
  </si>
  <si>
    <t>CFS Moderate AUD</t>
  </si>
  <si>
    <t>FSF0500AU</t>
  </si>
  <si>
    <t>CFS Australian Small Companies AUD</t>
  </si>
  <si>
    <t>FSF0502AU</t>
  </si>
  <si>
    <t>CFS FC-Daintree Core Income AUD</t>
  </si>
  <si>
    <t>FSF0694AU</t>
  </si>
  <si>
    <t>CFS Global Share-Hedged AUD</t>
  </si>
  <si>
    <t>FSF0706AU</t>
  </si>
  <si>
    <t>CFS Enhanced Index Growth AUD</t>
  </si>
  <si>
    <t>FSF0791AU</t>
  </si>
  <si>
    <t>CFS Global Infrastructure Securities AUD</t>
  </si>
  <si>
    <t>FSF0795AU</t>
  </si>
  <si>
    <t>CFS FC-Acadian Geared Global Equity AUD</t>
  </si>
  <si>
    <t>FSF0891AU</t>
  </si>
  <si>
    <t>ClearBridge RARE Infrastructure Value AUD</t>
  </si>
  <si>
    <t>FSF0905AU</t>
  </si>
  <si>
    <t>Generation Global Share AUD</t>
  </si>
  <si>
    <t>FSF0908AU</t>
  </si>
  <si>
    <t>Acadian Defensive Income-Class A AUD</t>
  </si>
  <si>
    <t>FSF0973AU</t>
  </si>
  <si>
    <t>RQI Global Value – Class A AUD</t>
  </si>
  <si>
    <t>FSF0974AU</t>
  </si>
  <si>
    <t>RQI Global Value - Hedged – Class A AUD</t>
  </si>
  <si>
    <t>FSF0975AU</t>
  </si>
  <si>
    <t>RQI Australian Value – Class A AUD</t>
  </si>
  <si>
    <t>FSF0976AU</t>
  </si>
  <si>
    <t>RQI Australian Small Cap Value – Class A AUD</t>
  </si>
  <si>
    <t>FSF0978AU</t>
  </si>
  <si>
    <t>CFS FC-Macquarie Income Opps AUD^^</t>
  </si>
  <si>
    <t>FSF1019AU</t>
  </si>
  <si>
    <t>CFS Balanced AUD</t>
  </si>
  <si>
    <t>FSF1020AU</t>
  </si>
  <si>
    <t>CFS FC-UBS Diversified Fixed Income AUD^^</t>
  </si>
  <si>
    <t>FSF1055AU</t>
  </si>
  <si>
    <t>Aspect Diversified Futures-Class A AUD</t>
  </si>
  <si>
    <t>FSF1086AU</t>
  </si>
  <si>
    <t>RQI Emerging Markets Value – Class A AUD</t>
  </si>
  <si>
    <t>FSF1101AU</t>
  </si>
  <si>
    <t>Acadian Global Managed Volatility Equity - Class A AUD</t>
  </si>
  <si>
    <t>FSF1240AU</t>
  </si>
  <si>
    <t>First Sentier Global Listed Infrastructure Fund AUD</t>
  </si>
  <si>
    <t>FSF1241AU</t>
  </si>
  <si>
    <t>CFS FC-PIMCO Global Bond AUD^^</t>
  </si>
  <si>
    <t>FSF1405AU</t>
  </si>
  <si>
    <t>CFS Enhanced Index Cons-Class A AUD</t>
  </si>
  <si>
    <t>FSF1414AU</t>
  </si>
  <si>
    <t>CFS Enhanced Index Diversified-Class A AUD</t>
  </si>
  <si>
    <t>FSF1415AU</t>
  </si>
  <si>
    <t>CFS Enhanced Index Balanced-Class A AUD</t>
  </si>
  <si>
    <t>FSF1416AU</t>
  </si>
  <si>
    <t>CFS Enhanced Index High Growth-Class A AUD</t>
  </si>
  <si>
    <t>FSF1616AU</t>
  </si>
  <si>
    <t>Stewart Investors Worldwide All Cap Fund AUD</t>
  </si>
  <si>
    <t>FSF1675AU</t>
  </si>
  <si>
    <t>CFS Diversified AUD</t>
  </si>
  <si>
    <t>FSF1694AU</t>
  </si>
  <si>
    <t>CFS Enhanced Index Moderate AUD</t>
  </si>
  <si>
    <t>FSF1695AU</t>
  </si>
  <si>
    <t>CFS Enhanced Index Moderate-Class A AUD</t>
  </si>
  <si>
    <t>FSF1760AU</t>
  </si>
  <si>
    <t>CFS FC-AZ Sestante Conservative AUD</t>
  </si>
  <si>
    <t>FSF1820AU</t>
  </si>
  <si>
    <t>CFS FC-AZ Sestante Diversified AUD</t>
  </si>
  <si>
    <t>FSF1821AU</t>
  </si>
  <si>
    <t>CFS FC-AZ Sestante Growth AUD</t>
  </si>
  <si>
    <t>FSF1822AU</t>
  </si>
  <si>
    <t>Acadian Global Equity Long Short-Class A AUD</t>
  </si>
  <si>
    <t>FSF1978AU</t>
  </si>
  <si>
    <t>CFS Index Australian Share-Class A AUD</t>
  </si>
  <si>
    <t>FSF2161AU</t>
  </si>
  <si>
    <t>CFS Defensive Builder AUD</t>
  </si>
  <si>
    <t>FSF2619AU</t>
  </si>
  <si>
    <t>CFS Index Global Listed Infrastructure Securities - Class A AUD</t>
  </si>
  <si>
    <t>FSF2924AU</t>
  </si>
  <si>
    <t>Aspect Absolute Return Fund-Class A AUD</t>
  </si>
  <si>
    <t>FSF3532AU</t>
  </si>
  <si>
    <t>Acadian Australian Equity Long Short-Class A AUD</t>
  </si>
  <si>
    <t>FSF3982AU</t>
  </si>
  <si>
    <t>CFS Index High Growth-Class A AUD</t>
  </si>
  <si>
    <t>FSF3991AU</t>
  </si>
  <si>
    <t>Baillie Gifford Sustainable Growth - Class A AUD</t>
  </si>
  <si>
    <t>FSF4018AU</t>
  </si>
  <si>
    <t>CFS Geared Index Australian Share A AUD</t>
  </si>
  <si>
    <t>FSF4035AU</t>
  </si>
  <si>
    <t>CFS Index Property Securities-Class A AUD</t>
  </si>
  <si>
    <t>FSF4667AU</t>
  </si>
  <si>
    <t>CFS Index Diversified-Class A AUD</t>
  </si>
  <si>
    <t>FSF4877AU</t>
  </si>
  <si>
    <t>CFS Index Moderate-Class A AUD</t>
  </si>
  <si>
    <t>FSF4900AU</t>
  </si>
  <si>
    <t>CFS Index Global Property Securities - Class A AUD</t>
  </si>
  <si>
    <t>FSF5129AU</t>
  </si>
  <si>
    <t>CFS Index Global Share - Hedged-Class A AUD</t>
  </si>
  <si>
    <t>FSF5306AU</t>
  </si>
  <si>
    <t>CFS Equity Builder AUD</t>
  </si>
  <si>
    <t>FSF5316AU</t>
  </si>
  <si>
    <t>CFS Geared Index Global Share AUD</t>
  </si>
  <si>
    <t>FSF5688AU</t>
  </si>
  <si>
    <t>Baillie Gifford LT Global Growth-Class A AUD</t>
  </si>
  <si>
    <t>FSF5774AU</t>
  </si>
  <si>
    <t>CFS Real Return - Class A AUD</t>
  </si>
  <si>
    <t>FSF5867AU</t>
  </si>
  <si>
    <t>CFS FC-Western Asset Australian Bond AUD^^</t>
  </si>
  <si>
    <t>FSF6163AU</t>
  </si>
  <si>
    <t>Four times a year</t>
  </si>
  <si>
    <t>CFS Index Global Share-Class A AUD</t>
  </si>
  <si>
    <t>FSF6182AU</t>
  </si>
  <si>
    <t>CFS Thrive+ Sustainable Growth-Class A AUD</t>
  </si>
  <si>
    <t>FSF6557AU</t>
  </si>
  <si>
    <t>CFS Geared Index Global Share A AUD</t>
  </si>
  <si>
    <t>FSF6593AU</t>
  </si>
  <si>
    <t>MetLife Global Bond - Class A AUD</t>
  </si>
  <si>
    <t>FSF7298AU</t>
  </si>
  <si>
    <t>CFS FC W - C&amp;S Global List Infrastructure Class A AUD</t>
  </si>
  <si>
    <t>FSF7301AU</t>
  </si>
  <si>
    <t>CFS Index Global Bond-Class A AUD</t>
  </si>
  <si>
    <t>FSF7399AU</t>
  </si>
  <si>
    <t>CFS Index Conservative-Class A AUD</t>
  </si>
  <si>
    <t>FSF7580AU</t>
  </si>
  <si>
    <t>CFS Growth Builder AUD</t>
  </si>
  <si>
    <t>FSF7799AU</t>
  </si>
  <si>
    <t>CFS Index Growth-Class A AUD</t>
  </si>
  <si>
    <t>FSF8242AU</t>
  </si>
  <si>
    <t>Generation Global Share - Hedged AUD</t>
  </si>
  <si>
    <t>FSF8383AU</t>
  </si>
  <si>
    <t>FSSA Global Emerging Markets Focus Fund AUD</t>
  </si>
  <si>
    <t>FSF8443AU</t>
  </si>
  <si>
    <t>CFS Index Australian Bond-Class A AUD</t>
  </si>
  <si>
    <t>FSF8668AU</t>
  </si>
  <si>
    <t>CFS Index Balanced-Class A AUD</t>
  </si>
  <si>
    <t>FSF8757AU</t>
  </si>
  <si>
    <t>First Sentier Australian MidCap Fund AUD</t>
  </si>
  <si>
    <t>FSF8777AU</t>
  </si>
  <si>
    <t>CFS Geared Index Australian Share AUD</t>
  </si>
  <si>
    <t>FSF8896AU</t>
  </si>
  <si>
    <t>CFS FC-FirstRate Cash AUD</t>
  </si>
  <si>
    <t>FSF9378AU</t>
  </si>
  <si>
    <t>Enhanced Cash</t>
  </si>
  <si>
    <t>CFS Enhanced Cash-Class A AUD</t>
  </si>
  <si>
    <t>FSF9620AU</t>
  </si>
  <si>
    <t>Federation Alternative Investments II Fund Retail AUD</t>
  </si>
  <si>
    <t>FSM7521AU</t>
  </si>
  <si>
    <t>Epoch Global Equity Shareholder Yield Funds (Hedged) AUD</t>
  </si>
  <si>
    <t>GSF0001AU</t>
  </si>
  <si>
    <t>Epoch Global Equity Shareholder Yield Funds (Unhedged) AUD</t>
  </si>
  <si>
    <t>GSF0002AU</t>
  </si>
  <si>
    <t>Payden Global Income Opportunities AUD</t>
  </si>
  <si>
    <t>GSF0008AU</t>
  </si>
  <si>
    <t>Munro Global Growth Small &amp; Mid Cap Fund - Class A AUD</t>
  </si>
  <si>
    <t>GSF0874AU</t>
  </si>
  <si>
    <t>Man GLG Asia Opportunities Fund Class A Units AUD</t>
  </si>
  <si>
    <t>GSF6910AU</t>
  </si>
  <si>
    <t>Munro Concentrated Global Growth Fund Class A AUD</t>
  </si>
  <si>
    <t>GSF9808AU</t>
  </si>
  <si>
    <t>Invesco True Balance Fund Class A AUD</t>
  </si>
  <si>
    <t>GTU0109AU</t>
  </si>
  <si>
    <t>Invesco Global Real Estate Fund Class A AUD</t>
  </si>
  <si>
    <t>GTU5547AU</t>
  </si>
  <si>
    <t>Merlon Australian Share Income Fund AUD</t>
  </si>
  <si>
    <t>HBC0011AU</t>
  </si>
  <si>
    <t>Fulcrum Diversified Investments Fund AUD</t>
  </si>
  <si>
    <t>HFL0104AU</t>
  </si>
  <si>
    <t>Apis Global Long/Short Fund Wholesale AUD</t>
  </si>
  <si>
    <t>HFL0108AU</t>
  </si>
  <si>
    <t>Pengana Axiom International Fund (Hedged) AUD</t>
  </si>
  <si>
    <t>HHA0002AU</t>
  </si>
  <si>
    <t>Pengana WHEB Sustainable Impact Fund AUD</t>
  </si>
  <si>
    <t>HHA0007AU</t>
  </si>
  <si>
    <t>CBRE Global Property Securities Fund AUD</t>
  </si>
  <si>
    <t>HML0016AU</t>
  </si>
  <si>
    <t>Pengana Axiom International Fund AUD</t>
  </si>
  <si>
    <t>HOW0002AU</t>
  </si>
  <si>
    <t>Alphinity Australian Equity Fund AUD^^</t>
  </si>
  <si>
    <t>HOW0019AU</t>
  </si>
  <si>
    <t>WaveStone Australian Share Fund AUD</t>
  </si>
  <si>
    <t>HOW0020AU</t>
  </si>
  <si>
    <t>Alphinity Concentrated Australian Share Fund AUD</t>
  </si>
  <si>
    <t>HOW0026AU</t>
  </si>
  <si>
    <t>Greencape Broadcap Fund AUD</t>
  </si>
  <si>
    <t>HOW0034AU</t>
  </si>
  <si>
    <t>Greencape High Conviction Fund AUD</t>
  </si>
  <si>
    <t>HOW0035AU</t>
  </si>
  <si>
    <t>Kapstream Absolute Return Income Fund AUD</t>
  </si>
  <si>
    <t>HOW0052AU</t>
  </si>
  <si>
    <t>WaveStone Dynamic Australian Equity Fund AUD</t>
  </si>
  <si>
    <t>HOW0053AU</t>
  </si>
  <si>
    <t>Ardea Real Outcome Fund AUD</t>
  </si>
  <si>
    <t>HOW0098AU</t>
  </si>
  <si>
    <t>Alphinity Sustainable Share Fund AUD</t>
  </si>
  <si>
    <t>HOW0121AU</t>
  </si>
  <si>
    <t>Alphinity Global Equity Fund AUD</t>
  </si>
  <si>
    <t>HOW0164AU</t>
  </si>
  <si>
    <t>Alphinity Global Sustainable Equity - Class F AUD^^</t>
  </si>
  <si>
    <t>HOW0792AU</t>
  </si>
  <si>
    <t>Merlon Concentrated Australian Share Fund Class A AUD</t>
  </si>
  <si>
    <t>HOW2217AU</t>
  </si>
  <si>
    <t>Eiger Australian Small Companies Fund AUD</t>
  </si>
  <si>
    <t>HOW2967AU</t>
  </si>
  <si>
    <t>Apollo Aligned Alternatives Fund AUD</t>
  </si>
  <si>
    <t>HOW3532AU</t>
  </si>
  <si>
    <t>Ares Global Credit Income Fund Class A AUD</t>
  </si>
  <si>
    <t>HOW4476AU</t>
  </si>
  <si>
    <t>WaveStone Australian Share Fund Class I AUD^^</t>
  </si>
  <si>
    <t>HOW6060AU</t>
  </si>
  <si>
    <t>Ox Capital Dynamic Emerging Markets Fund AUD</t>
  </si>
  <si>
    <t>HOW6479AU</t>
  </si>
  <si>
    <t>Challenger IM Credit Income Fund Class A AUD</t>
  </si>
  <si>
    <t>HOW8013AU</t>
  </si>
  <si>
    <t>Kapstream Absolute Return Income Plus Fund Class I AUD^^</t>
  </si>
  <si>
    <t>HOW8743AU</t>
  </si>
  <si>
    <t>Investors Mutual WS Australian Smaller Companies AUD</t>
  </si>
  <si>
    <t>IML0001AU</t>
  </si>
  <si>
    <t>Investors Mutual WS Australian Share Fund AUD</t>
  </si>
  <si>
    <t>IML0002AU</t>
  </si>
  <si>
    <t>Investors Mutual WS Future Leaders Fund AUD</t>
  </si>
  <si>
    <t>IML0003AU</t>
  </si>
  <si>
    <t>Investors Mutual All Industrials Share Fund AUD</t>
  </si>
  <si>
    <t>IML0004AU</t>
  </si>
  <si>
    <t>Investors Mutual Equity Income AUD</t>
  </si>
  <si>
    <t>IML0005AU</t>
  </si>
  <si>
    <t>Investors Mutual Concentrated Australian Share Fund AUD</t>
  </si>
  <si>
    <t>IML0010AU</t>
  </si>
  <si>
    <t>Loomis Sayles Global Equity Fund AUD</t>
  </si>
  <si>
    <t>IML0341AU</t>
  </si>
  <si>
    <t>Morningstar Multi Asset Real Return Fund - Class A AUD</t>
  </si>
  <si>
    <t>INT0040AU</t>
  </si>
  <si>
    <t>Morningstar International Shares (Unhedged) Fund - Class A AUD</t>
  </si>
  <si>
    <t>INT0052AU</t>
  </si>
  <si>
    <t>Antipodes Global Fund - Class P AUD</t>
  </si>
  <si>
    <t>IOF0045AU</t>
  </si>
  <si>
    <t>Janus Henderson Australian Fixed Interest Fund AUD</t>
  </si>
  <si>
    <t>IOF0046AU</t>
  </si>
  <si>
    <t>Janus Henderson Conservative Fixed Interest Fund AUD</t>
  </si>
  <si>
    <t>IOF0047AU</t>
  </si>
  <si>
    <t>Resolution Capital Global Property Securities Fund - Series II AUD^^</t>
  </si>
  <si>
    <t>IOF0081AU</t>
  </si>
  <si>
    <t>MLC MultiSeries 70 AUD</t>
  </si>
  <si>
    <t>IOF0090AU</t>
  </si>
  <si>
    <t>Janus Henderson Diversified Credit Fund AUD</t>
  </si>
  <si>
    <t>IOF0127AU</t>
  </si>
  <si>
    <t>Janus Henderson Tactical Income Fund AUD</t>
  </si>
  <si>
    <t>IOF0145AU</t>
  </si>
  <si>
    <t>Resolution Capital Global Property Securities Fund (Unhedged) – SERIES II AUD</t>
  </si>
  <si>
    <t>IOF0184AU</t>
  </si>
  <si>
    <t>Perennial Value Shares Wholesale Trust AUD</t>
  </si>
  <si>
    <t>IOF0206AU</t>
  </si>
  <si>
    <t>Perennial Value Smaller Companies Trust AUD</t>
  </si>
  <si>
    <t>IOF0214AU</t>
  </si>
  <si>
    <t>MLC MultiSeries 30 AUD</t>
  </si>
  <si>
    <t>IOF0253AU</t>
  </si>
  <si>
    <t>MLC MultiSeries 50 AUD</t>
  </si>
  <si>
    <t>IOF0254AU</t>
  </si>
  <si>
    <t>MLC MultiSeries 90 AUD</t>
  </si>
  <si>
    <t>IOF0255AU</t>
  </si>
  <si>
    <t>Yarra Australian Equities Fund AUD</t>
  </si>
  <si>
    <t>JBW0009AU</t>
  </si>
  <si>
    <t>Yarra Enhanced Income Fund AUD</t>
  </si>
  <si>
    <t>JBW0018AU</t>
  </si>
  <si>
    <t>Yarra Ex-20 Australian Equities Fund AUD</t>
  </si>
  <si>
    <t>JBW0052AU</t>
  </si>
  <si>
    <t>Yarra Global Small Companies Fund AUD</t>
  </si>
  <si>
    <t>JBW0103AU</t>
  </si>
  <si>
    <t>Yarra Higher Income Fund AUD</t>
  </si>
  <si>
    <t>JBW4379AU</t>
  </si>
  <si>
    <t>S64 Hg Fusion Private Capital Access Fund AUD AUD</t>
  </si>
  <si>
    <t>KAM4856AU</t>
  </si>
  <si>
    <t>Alceon Australian Property Fund AUD^^</t>
  </si>
  <si>
    <t>LAM0044AU</t>
  </si>
  <si>
    <t>Lazard Australian Equity Fund (W Class) AUD^^</t>
  </si>
  <si>
    <t>LAZ0010AU</t>
  </si>
  <si>
    <t>Lazard Global Small Cap Equity Advantage Fund (W Class) AUD</t>
  </si>
  <si>
    <t>LAZ0012AU</t>
  </si>
  <si>
    <t>Lazard Select Australian Equity Fund (W Class) AUD</t>
  </si>
  <si>
    <t>LAZ0013AU</t>
  </si>
  <si>
    <t>Lazard Global Listed Infrastructure Fund AUD</t>
  </si>
  <si>
    <t>LAZ0014AU</t>
  </si>
  <si>
    <t>Lazard Defensive Australian Equity Fund AUD</t>
  </si>
  <si>
    <t>LAZ0022AU</t>
  </si>
  <si>
    <t>Lazard Global Equity Franchise Fund AUD</t>
  </si>
  <si>
    <t>LAZ0025AU</t>
  </si>
  <si>
    <t>La Trobe Financial 12 Month Term Account AUD*</t>
  </si>
  <si>
    <t>LTC0002AU</t>
  </si>
  <si>
    <t>La Trobe US Private Credit Fund Class B Units AUD</t>
  </si>
  <si>
    <t>LTC1706AU</t>
  </si>
  <si>
    <t>MA Secured Real Estate Income Fund AUD</t>
  </si>
  <si>
    <t>MAA6243AU</t>
  </si>
  <si>
    <t>MA Priority Income Fund AUD*</t>
  </si>
  <si>
    <t>MAA8010AU</t>
  </si>
  <si>
    <t>BlackRock Global Allocation (Australia) (Class D) AUD</t>
  </si>
  <si>
    <t>MAL0018AU</t>
  </si>
  <si>
    <t>Man AHL Alpha (AUD) Class A AUD</t>
  </si>
  <si>
    <t>MAN0002AU</t>
  </si>
  <si>
    <t>Macquarie Australian Fixed Interest Fund AUD</t>
  </si>
  <si>
    <t>MAQ0061AU</t>
  </si>
  <si>
    <t>Arrowstreet Global Equity Fund (Hedged) AUD</t>
  </si>
  <si>
    <t>MAQ0079AU</t>
  </si>
  <si>
    <t>Macquarie Master Enhanced Fixed Interest AUD^^</t>
  </si>
  <si>
    <t>MAQ0180AU</t>
  </si>
  <si>
    <t>Macquarie True Index Australian Fixed Interest AUD^^</t>
  </si>
  <si>
    <t>MAQ0211AU</t>
  </si>
  <si>
    <t>Macquarie True Index Listed Property Fund AUD^^</t>
  </si>
  <si>
    <t>MAQ0219AU</t>
  </si>
  <si>
    <t>Macquarie Dynamic Bond Fund AUD</t>
  </si>
  <si>
    <t>MAQ0274AU</t>
  </si>
  <si>
    <t>Macquarie Income Opportunities Fund AUD</t>
  </si>
  <si>
    <t>MAQ0277AU</t>
  </si>
  <si>
    <t>Macquarie True Index Australian Shares Fund AUD^^</t>
  </si>
  <si>
    <t>MAQ0288AU</t>
  </si>
  <si>
    <t>IFP Global Franchise Fund AUD</t>
  </si>
  <si>
    <t>MAQ0404AU</t>
  </si>
  <si>
    <t>Walter Scott Global Equity Fund AUD</t>
  </si>
  <si>
    <t>MAQ0410AU</t>
  </si>
  <si>
    <t>Macquarie International Infrastructure Securities AUD</t>
  </si>
  <si>
    <t>MAQ0432AU</t>
  </si>
  <si>
    <t>Antipodes China Fund AUD</t>
  </si>
  <si>
    <t>MAQ0441AU</t>
  </si>
  <si>
    <t>Macquarie Australian Shares Fund AUD</t>
  </si>
  <si>
    <t>MAQ0443AU</t>
  </si>
  <si>
    <t>Macquarie Australian Small Companies AUD</t>
  </si>
  <si>
    <t>MAQ0454AU</t>
  </si>
  <si>
    <t>Arrowstreet Global Equity Fund AUD</t>
  </si>
  <si>
    <t>MAQ0464AU</t>
  </si>
  <si>
    <t>Winton Global Alpha Fund AUD</t>
  </si>
  <si>
    <t>MAQ0482AU</t>
  </si>
  <si>
    <t>Walter Scott Global Equity Fund (Hedged) AUD</t>
  </si>
  <si>
    <t>MAQ0557AU</t>
  </si>
  <si>
    <t>IFP Global Franchise Fund (Hedged) AUD</t>
  </si>
  <si>
    <t>MAQ0631AU</t>
  </si>
  <si>
    <t>Antipodes Asia Fund AUD</t>
  </si>
  <si>
    <t>MAQ0635AU</t>
  </si>
  <si>
    <t>Antipodes Emerging Market Debt Fund AUD</t>
  </si>
  <si>
    <t>MAQ0782AU</t>
  </si>
  <si>
    <t>Polaris Global Equity Fund AUD</t>
  </si>
  <si>
    <t>MAQ0838AU</t>
  </si>
  <si>
    <t>Charter Hall Direct Office Wholesale A AUD</t>
  </si>
  <si>
    <t>MAQ0842AU</t>
  </si>
  <si>
    <t>Charter Hall Direct Industrial Fund No.4 AUD</t>
  </si>
  <si>
    <t>MAQ0854AU</t>
  </si>
  <si>
    <t>Arrowstreet Global Small Companies Fund AUD</t>
  </si>
  <si>
    <t>MAQ2153AU</t>
  </si>
  <si>
    <t>IFP Global Franchise Fund II AUD</t>
  </si>
  <si>
    <t>MAQ3060AU</t>
  </si>
  <si>
    <t>Macquarie Real Return Opportunities Fund AUD</t>
  </si>
  <si>
    <t>MAQ3069AU</t>
  </si>
  <si>
    <t>Charter Hall Direct PFA Fund AUD</t>
  </si>
  <si>
    <t>MAQ5880AU</t>
  </si>
  <si>
    <t>Macquarie Australian Emerging Companies Fund AUD</t>
  </si>
  <si>
    <t>MAQ7203AU</t>
  </si>
  <si>
    <t>Arrowstreet Global Equity No.2 Fund Class E Units AUD^^</t>
  </si>
  <si>
    <t>MAQ8743AU</t>
  </si>
  <si>
    <t>Magellan Global Fund Open Class AUD</t>
  </si>
  <si>
    <t>MGE0001AU</t>
  </si>
  <si>
    <t>Magellan Infrastructure Fund AUD</t>
  </si>
  <si>
    <t>MGE0002AU</t>
  </si>
  <si>
    <t>Magellan High Conviction Fund - Class A Units AUD</t>
  </si>
  <si>
    <t>MGE0005AU</t>
  </si>
  <si>
    <t>Magellan Infrastructure Fund (Unhedged) AUD</t>
  </si>
  <si>
    <t>MGE0006AU</t>
  </si>
  <si>
    <t>Magellan Global Fund (Hedged) AUD</t>
  </si>
  <si>
    <t>MGE0007AU</t>
  </si>
  <si>
    <t>Airlie Australian Share Fund (Managed Fund) AUD</t>
  </si>
  <si>
    <t>MGE9705AU</t>
  </si>
  <si>
    <t>Ironbark Brown Advisory Global Share Fund AUD</t>
  </si>
  <si>
    <t>MGL0004AU</t>
  </si>
  <si>
    <t>MFS Global Equity Trust W AUD</t>
  </si>
  <si>
    <t>MIA0001AU</t>
  </si>
  <si>
    <t>Mercer Australian Shares Fund AUD</t>
  </si>
  <si>
    <t>MIN0006AU</t>
  </si>
  <si>
    <t>Mercer Australian Small Companies Fund AUD^^</t>
  </si>
  <si>
    <t>MIN0007AU</t>
  </si>
  <si>
    <t>Mercer Cash Fund - Cash Units AUD</t>
  </si>
  <si>
    <t>MIN0008AU</t>
  </si>
  <si>
    <t>Mercer Conservative Growth Fund Active Units AUD</t>
  </si>
  <si>
    <t>MIN0009AU</t>
  </si>
  <si>
    <t>Mercer High Growth Fund AUD</t>
  </si>
  <si>
    <t>MIN0012AU</t>
  </si>
  <si>
    <t>Mercer Growth Fund Active Units AUD</t>
  </si>
  <si>
    <t>MIN0013AU</t>
  </si>
  <si>
    <t>Mercer Moderate Growth Fund Active Units AUD</t>
  </si>
  <si>
    <t>MIN0014AU</t>
  </si>
  <si>
    <t>Mercer International Shares Fund AUD</t>
  </si>
  <si>
    <t>MIN0015AU</t>
  </si>
  <si>
    <t>Mercer Hedged International Shares Fund AUD</t>
  </si>
  <si>
    <t>MIN0016AU</t>
  </si>
  <si>
    <t>Mercer Global Small Companies SharesFund AUD^^</t>
  </si>
  <si>
    <t>MIN0017AU</t>
  </si>
  <si>
    <t>Mercer Australian Shares Plus Fund AUD^^</t>
  </si>
  <si>
    <t>MIN0020AU</t>
  </si>
  <si>
    <t>Mercer Global Listed Property Fund AUD^^</t>
  </si>
  <si>
    <t>MIN0023AU</t>
  </si>
  <si>
    <t>Mercer Global Sovereign Bond Fund Class 1 AUD^^</t>
  </si>
  <si>
    <t>MIN0028AU</t>
  </si>
  <si>
    <t>Mercer Passive Australian Listed Property Fund AUD^^</t>
  </si>
  <si>
    <t>MIN0029AU</t>
  </si>
  <si>
    <t>Mercer Australian Sovereign Bond Fund AUD^^</t>
  </si>
  <si>
    <t>MIN0030AU</t>
  </si>
  <si>
    <t>Mercer Australian Inflation Plus Fund AUD^^</t>
  </si>
  <si>
    <t>MIN0031AU</t>
  </si>
  <si>
    <t>Mercer Global Credit Fund AUD^^</t>
  </si>
  <si>
    <t>MIN0032AU</t>
  </si>
  <si>
    <t>Mercer Global Listed Infrastructure AUD^^</t>
  </si>
  <si>
    <t>MIN0033AU</t>
  </si>
  <si>
    <t>Mercer Emerging Markets Shares Fund AUD^^</t>
  </si>
  <si>
    <t>MIN0037AU</t>
  </si>
  <si>
    <t>Mercer Sustainable Plus Australian Shares Fund AUD^^</t>
  </si>
  <si>
    <t>MIN0045AU</t>
  </si>
  <si>
    <t>Mercer Cash Fund - Term Deposit Units AUD</t>
  </si>
  <si>
    <t>MIN0046AU</t>
  </si>
  <si>
    <t>Mercer Emerging Markets Debt AUD^^</t>
  </si>
  <si>
    <t>MIN0082AU</t>
  </si>
  <si>
    <t>Mercer Australian Shares Fund for Tax Exempt Investors AUD^^</t>
  </si>
  <si>
    <t>MIN0087AU</t>
  </si>
  <si>
    <t>MLC Wholesale Horizon 4 - Balanced AUD</t>
  </si>
  <si>
    <t>MLC0260AU</t>
  </si>
  <si>
    <t>MLC Wholesale IncomeBuilder AUD</t>
  </si>
  <si>
    <t>MLC0264AU</t>
  </si>
  <si>
    <t>MLC Wholesale Horizon 5 - Growth AUD</t>
  </si>
  <si>
    <t>MLC0265AU</t>
  </si>
  <si>
    <t>MLC MultiActive High Growth AUD</t>
  </si>
  <si>
    <t>MLC0397AU</t>
  </si>
  <si>
    <t>MLC Wholesale Horizon 3 - Cons Grwth AUD</t>
  </si>
  <si>
    <t>MLC0398AU</t>
  </si>
  <si>
    <t>MLC Real Return Assertive A AUD</t>
  </si>
  <si>
    <t>MLC0667AU</t>
  </si>
  <si>
    <t>MLC Real Return Moderate AUD</t>
  </si>
  <si>
    <t>MLC0920AU</t>
  </si>
  <si>
    <t>MLC Global Private Equity Fund AUD</t>
  </si>
  <si>
    <t>MLC5609AU</t>
  </si>
  <si>
    <t>Loftus Peak Global Disruption Fund AUD</t>
  </si>
  <si>
    <t>MMC0110AU</t>
  </si>
  <si>
    <t>Maple-Brown Abbott Diversified Investment AUD</t>
  </si>
  <si>
    <t>MPL0001AU</t>
  </si>
  <si>
    <t>Maple-Brown Abbott Global Listed Infras AUD</t>
  </si>
  <si>
    <t>MPL0006AU</t>
  </si>
  <si>
    <t>Maple-Brown Abbott Global Listed Infrastructure Fund – Hedged AUD</t>
  </si>
  <si>
    <t>MPL0008AU</t>
  </si>
  <si>
    <t>Maple-Brown Abbott Australian Small Companies Fund AUD</t>
  </si>
  <si>
    <t>MPL1241AU</t>
  </si>
  <si>
    <t>Munro Global Growth Fund AUD</t>
  </si>
  <si>
    <t>MUA0002AU</t>
  </si>
  <si>
    <t>Mercer Conservative Growth Fund Enhanced Passive Units AUD</t>
  </si>
  <si>
    <t>NCL1621AU</t>
  </si>
  <si>
    <t>Mercer Socially Responsible Shares Fund - Unhedged AUD^^</t>
  </si>
  <si>
    <t>NCL4039AU</t>
  </si>
  <si>
    <t>Mercer Sustainable Plus International Shares Fund - Hedged AUD^^</t>
  </si>
  <si>
    <t>NCL4057AU</t>
  </si>
  <si>
    <t>Mercer Moderate Growth Fund Enhanced Passive Units AUD</t>
  </si>
  <si>
    <t>NCL4286AU</t>
  </si>
  <si>
    <t>Mercer Growth Fund Enhanced Passive Units AUD</t>
  </si>
  <si>
    <t>NCL4407AU</t>
  </si>
  <si>
    <t>Nikko AM ARK Global Disruptive Innovation Fund AUD</t>
  </si>
  <si>
    <t>NIK1854AU</t>
  </si>
  <si>
    <t>Dexus Wholesale Australian Property Fund AUD</t>
  </si>
  <si>
    <t>NML0001AU</t>
  </si>
  <si>
    <t>Alexander Credit Opportunities Fund AUD*</t>
  </si>
  <si>
    <t>OMF0005AU</t>
  </si>
  <si>
    <t>Realm High Income Fund - Wholesale Units AUD</t>
  </si>
  <si>
    <t>OMF0009AU</t>
  </si>
  <si>
    <t>Irregular</t>
  </si>
  <si>
    <t>Realm Short Term Income Fund - Ordinary AUD</t>
  </si>
  <si>
    <t>OMF3725AU</t>
  </si>
  <si>
    <t>Realm Global High Income Fund AUD AUD</t>
  </si>
  <si>
    <t>OMF4269AU</t>
  </si>
  <si>
    <t>Realm Strategic Income Fund Enduring Units AUD</t>
  </si>
  <si>
    <t>OMF5868AU</t>
  </si>
  <si>
    <t>Barings Liquidity Investment Strategy AUD</t>
  </si>
  <si>
    <t>OMF6430AU</t>
  </si>
  <si>
    <t>Aura Core Income Fund AUD</t>
  </si>
  <si>
    <t>OMF9469AU</t>
  </si>
  <si>
    <t>Ophir Global Opportunities Fund Class A AUD</t>
  </si>
  <si>
    <t>OPH2093AU</t>
  </si>
  <si>
    <t>OC Dynamic Equity Fund AUD^^</t>
  </si>
  <si>
    <t>OPS0001AU</t>
  </si>
  <si>
    <t>OC Premium Small Companies Fund AUD</t>
  </si>
  <si>
    <t>OPS0002AU</t>
  </si>
  <si>
    <t>OC Micro-Cap Fund AUD</t>
  </si>
  <si>
    <t>OPS0004AU</t>
  </si>
  <si>
    <t>Vertium Equity Income Fund AUD</t>
  </si>
  <si>
    <t>OPS1827AU</t>
  </si>
  <si>
    <t>ECP Growth Companies Fund AUD</t>
  </si>
  <si>
    <t>OPS2991AU</t>
  </si>
  <si>
    <t>Chester High Conviction Fund AUD</t>
  </si>
  <si>
    <t>OPS7755AU</t>
  </si>
  <si>
    <t>Artisan Global Discovery Fund AUD</t>
  </si>
  <si>
    <t>OPS8304AU</t>
  </si>
  <si>
    <t>Ironbark Paladin Property Securities Fund AUD</t>
  </si>
  <si>
    <t>PAL0002AU</t>
  </si>
  <si>
    <t>Alphinity Australian Share Fund AUD</t>
  </si>
  <si>
    <t>PAM0001AU</t>
  </si>
  <si>
    <t>Pengana Australian Equities Fund AUD</t>
  </si>
  <si>
    <t>PCL0005AU</t>
  </si>
  <si>
    <t>Pengana Global Small Companies Fund AUD</t>
  </si>
  <si>
    <t>PCL0022AU</t>
  </si>
  <si>
    <t>Pengana Harding Loevner International Fund AUD</t>
  </si>
  <si>
    <t>PCL0026AU</t>
  </si>
  <si>
    <t>Regnan Credit Impact Trust AUD</t>
  </si>
  <si>
    <t>PDL5969AU</t>
  </si>
  <si>
    <t>Pendal Global Select Fund - Class R AUD</t>
  </si>
  <si>
    <t>PDL6767AU</t>
  </si>
  <si>
    <t>Perpetual Industrial Fund AUD</t>
  </si>
  <si>
    <t>PER0046AU</t>
  </si>
  <si>
    <t>Perpetual Smaller Companies Fund AUD</t>
  </si>
  <si>
    <t>PER0048AU</t>
  </si>
  <si>
    <t>Perpetual Australian Share Fund AUD</t>
  </si>
  <si>
    <t>PER0049AU</t>
  </si>
  <si>
    <t>Perpetual Balanced Growth Fund AUD</t>
  </si>
  <si>
    <t>PER0063AU</t>
  </si>
  <si>
    <t>Perpetual Geared Australian Fund AUD</t>
  </si>
  <si>
    <t>PER0071AU</t>
  </si>
  <si>
    <t>Perpetual SHARE-PLUS Long-Short AUD</t>
  </si>
  <si>
    <t>PER0072AU</t>
  </si>
  <si>
    <t>Perpetual Conservative Growth Fund AUD</t>
  </si>
  <si>
    <t>PER0077AU</t>
  </si>
  <si>
    <t>Perpetual Concentrated Equity Fund AUD</t>
  </si>
  <si>
    <t>PER0102AU</t>
  </si>
  <si>
    <t>Perpetual Diversified Growth Fund AUD</t>
  </si>
  <si>
    <t>PER0114AU</t>
  </si>
  <si>
    <t>Perpetual ESG Australia Share Fund AUD</t>
  </si>
  <si>
    <t>PER0116AU</t>
  </si>
  <si>
    <t>Perpetual Diversified Income Fund AUD</t>
  </si>
  <si>
    <t>PER0260AU</t>
  </si>
  <si>
    <t>Pengana Emerging Companies Fund AUD</t>
  </si>
  <si>
    <t>PER0270AU</t>
  </si>
  <si>
    <t>Perpetual Diversified Real Return Class W AUD</t>
  </si>
  <si>
    <t>PER0556AU</t>
  </si>
  <si>
    <t>Perpetual High Grade Floating Rate Fund Class R Units AUD</t>
  </si>
  <si>
    <t>PER0562AU</t>
  </si>
  <si>
    <t>Perpetual Pure Equity Alpha AUD</t>
  </si>
  <si>
    <t>PER0668AU</t>
  </si>
  <si>
    <t>JPMorgan Global Research Enhanced Index Equity Trust – Class A (Hedged) Units AUD</t>
  </si>
  <si>
    <t>PER0715AU</t>
  </si>
  <si>
    <t>JPMorgan Global Strategic Bond Fund AUD</t>
  </si>
  <si>
    <t>PER0727AU</t>
  </si>
  <si>
    <t>CT Pyrford Global Absolute Return Fund AUD</t>
  </si>
  <si>
    <t>PER0728AU</t>
  </si>
  <si>
    <t>Barrow Hanley Global Share Fund - Class A AUD</t>
  </si>
  <si>
    <t>PER0733AU</t>
  </si>
  <si>
    <t>JPMorgan Global Macro Opportunities Fund - Class A Units AUD</t>
  </si>
  <si>
    <t>PER0758AU</t>
  </si>
  <si>
    <t>Perpetual ESG Real Return Fund AUD</t>
  </si>
  <si>
    <t>PER0761AU</t>
  </si>
  <si>
    <t>Perpetual ESG Credit Income Fund AUD</t>
  </si>
  <si>
    <t>PER1744AU</t>
  </si>
  <si>
    <t>JPMorgan Global Select Equity Fund - Class I (Hedged) Units AUD^^</t>
  </si>
  <si>
    <t>PER2557AU</t>
  </si>
  <si>
    <t>JPMorgan Global Research Enhanced Index Equity Trust – Class A Units AUD</t>
  </si>
  <si>
    <t>PER5355AU</t>
  </si>
  <si>
    <t>Barrow Hanley Global Share Fund - Class S AUD^^</t>
  </si>
  <si>
    <t>PER6110AU</t>
  </si>
  <si>
    <t>Perpetual Diversified Real Return Class Z AUD</t>
  </si>
  <si>
    <t>PER6115AU</t>
  </si>
  <si>
    <t>Barrow Hanley Emerging Markets Fund AUD</t>
  </si>
  <si>
    <t>PER6134AU</t>
  </si>
  <si>
    <t>JPMorgan Global Select Equity Fund - Class I Units AUD^^</t>
  </si>
  <si>
    <t>PER6443AU</t>
  </si>
  <si>
    <t>JPMorgan Global Bond Fund - Class A Units AUD</t>
  </si>
  <si>
    <t>PER6912AU</t>
  </si>
  <si>
    <t>JPMorgan Global Select Equity Fund - Class A (Hedged) Units AUD</t>
  </si>
  <si>
    <t>PER7512AU</t>
  </si>
  <si>
    <t>JPMorgan Global Select Equity Fund - Class A Units AUD</t>
  </si>
  <si>
    <t>PER9997AU</t>
  </si>
  <si>
    <t>Principal Global Credit Opportunities Fund AUD</t>
  </si>
  <si>
    <t>PGI0001AU</t>
  </si>
  <si>
    <t>Principal Global Property Securities Fund AUD^^</t>
  </si>
  <si>
    <t>PGI0002AU</t>
  </si>
  <si>
    <t>PIMCO ESG Global Bond Fund - Wholesale Class AUD</t>
  </si>
  <si>
    <t>PIC6396AU</t>
  </si>
  <si>
    <t>PIMCO TRENDS Managed Futures Strategy Fund Wholesale Class AUD</t>
  </si>
  <si>
    <t>PIC9659AU</t>
  </si>
  <si>
    <t>DNR Capital Australian Equities High Conviction Fund Retail (R) class AUD</t>
  </si>
  <si>
    <t>PIM0028AU</t>
  </si>
  <si>
    <t>Aoris International Fund Class B AUD</t>
  </si>
  <si>
    <t>PIM0058AU</t>
  </si>
  <si>
    <t>First Sentier Concentrated Australian Share Fund AUD^^</t>
  </si>
  <si>
    <t>PIM0760AU</t>
  </si>
  <si>
    <t>Fairlight Global Small &amp; Mid Cap Fund Hedged AUD</t>
  </si>
  <si>
    <t>PIM0941AU</t>
  </si>
  <si>
    <t>Hamilton Lane Global Private Assets Fund (AUD) Hedged AUD</t>
  </si>
  <si>
    <t>PIM1015AU</t>
  </si>
  <si>
    <t>Aoris International Fund Class D Hedged AUD</t>
  </si>
  <si>
    <t>PIM1812AU</t>
  </si>
  <si>
    <t>First Sentier ex-20 Australian Share Fund AUD</t>
  </si>
  <si>
    <t>PIM1925AU</t>
  </si>
  <si>
    <t>Stewart Investors Global Emerging Markets Leaders Fund AUD</t>
  </si>
  <si>
    <t>PIM1937AU</t>
  </si>
  <si>
    <t>Hamilton Lane Senior Credit Opportunities Fund (AUD) Hedged - Distributing AUD</t>
  </si>
  <si>
    <t>PIM2262AU</t>
  </si>
  <si>
    <t>First Sentier Australian Small Companies Long Short Opportunities Fund AUD</t>
  </si>
  <si>
    <t>PIM2344AU</t>
  </si>
  <si>
    <t>First Sentier Global Property Securities Fund Hedged AUD</t>
  </si>
  <si>
    <t>PIM2485AU</t>
  </si>
  <si>
    <t>First Sentier Cash Fund Class A AUD</t>
  </si>
  <si>
    <t>PIM3425AU</t>
  </si>
  <si>
    <t>DNR Capital Australian Emerging Companies Fund AUD</t>
  </si>
  <si>
    <t>PIM4357AU</t>
  </si>
  <si>
    <t>Ophir Global High Conviction Fund - A Monthly Class AUD</t>
  </si>
  <si>
    <t>PIM4401AU</t>
  </si>
  <si>
    <t>Atrium Evolution Series Diversified Fund - AEF 9 P AUD</t>
  </si>
  <si>
    <t>PIM5301AU</t>
  </si>
  <si>
    <t>Eley Griffiths Group Emerging Companies Fund AUD</t>
  </si>
  <si>
    <t>PIM5346AU</t>
  </si>
  <si>
    <t>Pella Global Generations Fund Class B AUD</t>
  </si>
  <si>
    <t>PIM5678AU</t>
  </si>
  <si>
    <t>Stewart Investors Worldwide Leaders Fund AUD</t>
  </si>
  <si>
    <t>PIM6160AU</t>
  </si>
  <si>
    <t>ATLAS Infrastructure Global Fund AUD Unhedged Class AUD</t>
  </si>
  <si>
    <t>PIM6769AU</t>
  </si>
  <si>
    <t>Atrium Evolution Series Diversified Fund - AEF 7 P AUD</t>
  </si>
  <si>
    <t>PIM7509AU</t>
  </si>
  <si>
    <t>First Sentier Geared Australian Share Fund AUD^^</t>
  </si>
  <si>
    <t>PIM7590AU</t>
  </si>
  <si>
    <t>Fairlight Global Small &amp; Mid Cap Fund (Ordinary Class) AUD</t>
  </si>
  <si>
    <t>PIM7802AU</t>
  </si>
  <si>
    <t>Barwon Global Listed Private Equity Fund AF AUD</t>
  </si>
  <si>
    <t>PIM7967AU</t>
  </si>
  <si>
    <t>DNR Capital Australian Equities Income Fund AUD</t>
  </si>
  <si>
    <t>PIM8302AU</t>
  </si>
  <si>
    <t>ICG Global Total Credit Australia Fund AUD</t>
  </si>
  <si>
    <t>PIM8813AU</t>
  </si>
  <si>
    <t>First Sentier Global Listed Infrastructure Fund Unhedged Class AUD</t>
  </si>
  <si>
    <t>PIM8891AU</t>
  </si>
  <si>
    <t>ATLAS Infrastructure Global Fund Class – AUD Hedged AUD</t>
  </si>
  <si>
    <t>PIM9253AU</t>
  </si>
  <si>
    <t>Ophir Global High Conviction Fund - B Daily Class AUD</t>
  </si>
  <si>
    <t>PIM9456AU</t>
  </si>
  <si>
    <t>Pella Global Generations Fund Class C AUD</t>
  </si>
  <si>
    <t>PIM9694AU</t>
  </si>
  <si>
    <t>Platinum European Fund AUD</t>
  </si>
  <si>
    <t>PLA0001AU</t>
  </si>
  <si>
    <t>Platinum International Fund AUD</t>
  </si>
  <si>
    <t>PLA0002AU</t>
  </si>
  <si>
    <t>Platinum Japan Fund AUD</t>
  </si>
  <si>
    <t>PLA0003AU</t>
  </si>
  <si>
    <t>Platinum Asia Fund AUD</t>
  </si>
  <si>
    <t>PLA0004AU</t>
  </si>
  <si>
    <t>Platinum International Healthcare Fund AUD</t>
  </si>
  <si>
    <t>PLA0005AU</t>
  </si>
  <si>
    <t>Platinum International Brands Fund AUD</t>
  </si>
  <si>
    <t>PLA0100AU</t>
  </si>
  <si>
    <t>Platinum International Fund P Class AUD</t>
  </si>
  <si>
    <t>PLA8968AU</t>
  </si>
  <si>
    <t>PM Capital Global Companies Fund AUD</t>
  </si>
  <si>
    <t>PMC0100AU</t>
  </si>
  <si>
    <t>PM Capital Australian Companies Fund AUD</t>
  </si>
  <si>
    <t>PMC0101AU</t>
  </si>
  <si>
    <t>PM Capital Enhanced Yield Fund AUD</t>
  </si>
  <si>
    <t>PMC0103AU</t>
  </si>
  <si>
    <t>PM Capital Enhanced Yield Fund B AUD</t>
  </si>
  <si>
    <t>PMC4700AU</t>
  </si>
  <si>
    <t>Antares Professional Dividend Builder AUD</t>
  </si>
  <si>
    <t>PPL0002AU</t>
  </si>
  <si>
    <t>Intermede Global Equities Fund AUD</t>
  </si>
  <si>
    <t>PPL0036AU</t>
  </si>
  <si>
    <t>Antares Prof High Growth Shares Fund AUD</t>
  </si>
  <si>
    <t>PPL0106AU</t>
  </si>
  <si>
    <t>Antares Elite Opportunities Fund AUD</t>
  </si>
  <si>
    <t>PPL0115AU</t>
  </si>
  <si>
    <t>Antares Diversified Fixed Income Fund AUD^^</t>
  </si>
  <si>
    <t>PPL8808AU</t>
  </si>
  <si>
    <t>Mutual Cash Fund (MCTDF) Class A AUD</t>
  </si>
  <si>
    <t>PRM0010AU</t>
  </si>
  <si>
    <t>Mutual Income Fund A AUD</t>
  </si>
  <si>
    <t>PRM0015AU</t>
  </si>
  <si>
    <t>Mutual Credit Fund AUD</t>
  </si>
  <si>
    <t>PRM8256AU</t>
  </si>
  <si>
    <t>BlackRock WS Tactical Growth Fund AUD</t>
  </si>
  <si>
    <t>PWA0822AU</t>
  </si>
  <si>
    <t>Pendal Horizon Sustainable Australian Share Fund AUD</t>
  </si>
  <si>
    <t>RFA0025AU</t>
  </si>
  <si>
    <t>Pendal Focus Australian Share Fund AUD</t>
  </si>
  <si>
    <t>RFA0059AU</t>
  </si>
  <si>
    <t>Pendal MicroCap Opportunities Fund AUD</t>
  </si>
  <si>
    <t>RFA0061AU</t>
  </si>
  <si>
    <t>Pendal Imputation Fund AUD</t>
  </si>
  <si>
    <t>RFA0103AU</t>
  </si>
  <si>
    <t>Pendal Fixed Interest Fund AUD</t>
  </si>
  <si>
    <t>RFA0813AU</t>
  </si>
  <si>
    <t>Pendal Active Balanced Fund AUD</t>
  </si>
  <si>
    <t>RFA0815AU</t>
  </si>
  <si>
    <t>Pendal Property Investment AUD</t>
  </si>
  <si>
    <t>RFA0817AU</t>
  </si>
  <si>
    <t>Pendal Australian Share Fund AUD</t>
  </si>
  <si>
    <t>RFA0818AU</t>
  </si>
  <si>
    <t>Barrow Hanley Concentrated Global Share Fund No.2 AUD</t>
  </si>
  <si>
    <t>RFA0821AU</t>
  </si>
  <si>
    <t>Russell Balanced Fund Class A Units AUD</t>
  </si>
  <si>
    <t>RIM0001AU</t>
  </si>
  <si>
    <t>Russell Conservative Fund Class A Units AUD</t>
  </si>
  <si>
    <t>RIM0002AU</t>
  </si>
  <si>
    <t>Russell Growth Fund Class A Units AUD</t>
  </si>
  <si>
    <t>RIM0004AU</t>
  </si>
  <si>
    <t>UBS Diversified Fixed Income Fund - Retail Class (Hedged) AUD</t>
  </si>
  <si>
    <t>SBC0007AU</t>
  </si>
  <si>
    <t>UBS Cash Fund AUD</t>
  </si>
  <si>
    <t>SBC0811AU</t>
  </si>
  <si>
    <t>UBS Short-Term Fixed Income Fund AUD^^</t>
  </si>
  <si>
    <t>SBC0812AU</t>
  </si>
  <si>
    <t>UBS Australian Bond Fund AUD</t>
  </si>
  <si>
    <t>SBC0813AU</t>
  </si>
  <si>
    <t>UBS CBRE Property Securities Fund AUD</t>
  </si>
  <si>
    <t>SBC0816AU</t>
  </si>
  <si>
    <t>Schroder Australian Equity Fund - Professional Class AUD^^</t>
  </si>
  <si>
    <t>SCH0002AU</t>
  </si>
  <si>
    <t>Schroder Fixed Income Fund - Professional Class AUD^^</t>
  </si>
  <si>
    <t>SCH0016AU</t>
  </si>
  <si>
    <t>Schroder Fixed Income Fund - Wholesale Class AUD</t>
  </si>
  <si>
    <t>SCH0028AU</t>
  </si>
  <si>
    <t>Schroder Global Value Fund - Wholesale Class AUD</t>
  </si>
  <si>
    <t>SCH0030AU</t>
  </si>
  <si>
    <t>Schroder Global Value Fund (Hedged) - Wholesale Class AUD</t>
  </si>
  <si>
    <t>SCH0032AU</t>
  </si>
  <si>
    <t>Schroder Global Emerging Markets Fund - Wholesale Class AUD^^</t>
  </si>
  <si>
    <t>SCH0034AU</t>
  </si>
  <si>
    <t>Schroder Specialist Private Equity Fund AUD</t>
  </si>
  <si>
    <t>SCH0038AU</t>
  </si>
  <si>
    <t>Schroder Real Return Fund - Wholesale Class AUD</t>
  </si>
  <si>
    <t>SCH0047AU</t>
  </si>
  <si>
    <t>Schroder Wholesale Australian Equity Fund - Wholesale Class AUD</t>
  </si>
  <si>
    <t>SCH0101AU</t>
  </si>
  <si>
    <t>Schroder Sustainable Growth Fund - Wholesale Class AUD</t>
  </si>
  <si>
    <t>SCH0102AU</t>
  </si>
  <si>
    <t>Schroder Absolute Return Income Fund - Wholesale Class AUD</t>
  </si>
  <si>
    <t>SCH0103AU</t>
  </si>
  <si>
    <t>Coolabah Short Term Income Fund - Assisted Investor AUD</t>
  </si>
  <si>
    <t>SLT0052AU</t>
  </si>
  <si>
    <t>Clime Australian Income Fund Retail Units AUD</t>
  </si>
  <si>
    <t>SLT1239AU</t>
  </si>
  <si>
    <t>Nanuk New World Fund AUD</t>
  </si>
  <si>
    <t>SLT2171AU</t>
  </si>
  <si>
    <t>Smarter Money Long-Short Credit Fund AUD</t>
  </si>
  <si>
    <t>SLT2562AU</t>
  </si>
  <si>
    <t>Solaris Core Australian Equity PA AUD</t>
  </si>
  <si>
    <t>SOL0001AU</t>
  </si>
  <si>
    <t>GCQ Flagship Fund Class P AUD</t>
  </si>
  <si>
    <t>SPC5039AU</t>
  </si>
  <si>
    <t>Brandywine Global Opportunistic Fixed Income Trust Class A AUD</t>
  </si>
  <si>
    <t>SSB0014AU</t>
  </si>
  <si>
    <t>Martin Currie Real Income Fund Class A AUD</t>
  </si>
  <si>
    <t>SSB0026AU</t>
  </si>
  <si>
    <t>Martin Currie Equity Income Fund Class A AUD</t>
  </si>
  <si>
    <t>SSB0043AU</t>
  </si>
  <si>
    <t>Western Asset Australian Bond Trust - Class M AUD^^</t>
  </si>
  <si>
    <t>SSB0057AU</t>
  </si>
  <si>
    <t>Western Asset Australian Bond Fund Class A AUD</t>
  </si>
  <si>
    <t>SSB0122AU</t>
  </si>
  <si>
    <t>Franklin K2 Athena Fund A AUD</t>
  </si>
  <si>
    <t>SSB0495AU</t>
  </si>
  <si>
    <t>Brandywine Global Income Optimiser AUD</t>
  </si>
  <si>
    <t>SSB0515AU</t>
  </si>
  <si>
    <t>Brandywine Global Opportunistic Equity Fund Class A AUD</t>
  </si>
  <si>
    <t>SSB1961AU</t>
  </si>
  <si>
    <t>Western Asset Global Bond Fund Class B AUD^^</t>
  </si>
  <si>
    <t>SSB3825AU</t>
  </si>
  <si>
    <t>ClearBridge Global Infrastructure Income Fund - Class A Units AUD</t>
  </si>
  <si>
    <t>SSB6649AU</t>
  </si>
  <si>
    <t>Western Asset Global Bond Fund Class A AUD</t>
  </si>
  <si>
    <t>SSB8320AU</t>
  </si>
  <si>
    <t>State Street Global Fixed Income Index Trust AUD^^</t>
  </si>
  <si>
    <t>SST0009AU</t>
  </si>
  <si>
    <t>State Street Australian Equity Fund AUD</t>
  </si>
  <si>
    <t>SST0048AU</t>
  </si>
  <si>
    <t>State Street Global Equity Fund AUD</t>
  </si>
  <si>
    <t>SST0050AU</t>
  </si>
  <si>
    <t>State Street Floating Rate Fund AUD</t>
  </si>
  <si>
    <t>SST4725AU</t>
  </si>
  <si>
    <t>WCM Quality Global Growth Fund (Managed Fund) Class A (Unhedged) AUD</t>
  </si>
  <si>
    <t>SWI1413AU</t>
  </si>
  <si>
    <t>WCM International Small Cap Growth Fund (Managed Fund) AUD</t>
  </si>
  <si>
    <t>SWI9720AU</t>
  </si>
  <si>
    <t>Fortlake Real-Higher Income Fund AUD</t>
  </si>
  <si>
    <t>TAL0284AU</t>
  </si>
  <si>
    <t>Fortlake Real-Income Fund AUD</t>
  </si>
  <si>
    <t>TAL0590AU</t>
  </si>
  <si>
    <t>ClearBridge Global Infrastructure Value Fund- Hedged Class A Units AUD</t>
  </si>
  <si>
    <t>TGP0008AU</t>
  </si>
  <si>
    <t>ClearBridge Global Infrastructure Income Fund (Hedged) AUD</t>
  </si>
  <si>
    <t>TGP0016AU</t>
  </si>
  <si>
    <t>ClearBridge Global Infrastructure Value Fund AUD</t>
  </si>
  <si>
    <t>TGP0034AU</t>
  </si>
  <si>
    <t>Trilogy Monthly Income Trust - Platform Class AUD</t>
  </si>
  <si>
    <t>TGY9172AU</t>
  </si>
  <si>
    <t>Tyndall Australian Share Wholesale Fund AUD</t>
  </si>
  <si>
    <t>TYN0028AU</t>
  </si>
  <si>
    <t>Yarra Australian Bond Fund AUD</t>
  </si>
  <si>
    <t>TYN0104AU</t>
  </si>
  <si>
    <t>UBS Income Solution Fund AUD</t>
  </si>
  <si>
    <t>UBS0003AU</t>
  </si>
  <si>
    <t>UBS Australian Small Companies Fund AUD</t>
  </si>
  <si>
    <t>UBS0004AU</t>
  </si>
  <si>
    <t>UBS Microcap Fund AUD</t>
  </si>
  <si>
    <t>UBS0057AU</t>
  </si>
  <si>
    <t>CBRE Global Infrastructure Securities Fund AUD</t>
  </si>
  <si>
    <t>UBS0064AU</t>
  </si>
  <si>
    <t>UBS Emerging Markets Equity Fund AUD</t>
  </si>
  <si>
    <t>UBS8018AU</t>
  </si>
  <si>
    <t>Vanguard Australian Fixed Interest Index Fund AUD</t>
  </si>
  <si>
    <t>VAN0001AU</t>
  </si>
  <si>
    <t>Vanguard Australian Shares Index Fund AUD</t>
  </si>
  <si>
    <t>VAN0002AU</t>
  </si>
  <si>
    <t>Vanguard International Shares Index Fund AUD</t>
  </si>
  <si>
    <t>VAN0003AU</t>
  </si>
  <si>
    <t>Vanguard Australian Property Securities Index Fund AUD</t>
  </si>
  <si>
    <t>VAN0004AU</t>
  </si>
  <si>
    <t>Vanguard Emerging Markets Shares Index Fund AUD</t>
  </si>
  <si>
    <t>VAN0005AU</t>
  </si>
  <si>
    <t>Vanguard International Property Securities Index Fund AUD</t>
  </si>
  <si>
    <t>VAN0018AU</t>
  </si>
  <si>
    <t>Vanguard International Property Securities Index Fund (Hedged) AUD</t>
  </si>
  <si>
    <t>VAN0019AU</t>
  </si>
  <si>
    <t>Vanguard Cash Reserve Fund AUD</t>
  </si>
  <si>
    <t>VAN0020AU</t>
  </si>
  <si>
    <t>Vanguard Global Infrastructure Index Fund AUD^^</t>
  </si>
  <si>
    <t>VAN0023AU</t>
  </si>
  <si>
    <t>Vanguard Global Infrastructure Index Fund (Hedged) AUD^^</t>
  </si>
  <si>
    <t>VAN0024AU</t>
  </si>
  <si>
    <t>Vanguard Australian Government Bond Index Fund AUD^^</t>
  </si>
  <si>
    <t>VAN0025AU</t>
  </si>
  <si>
    <t>Vanguard Diversified Bond Index Fund AUD</t>
  </si>
  <si>
    <t>VAN0042AU</t>
  </si>
  <si>
    <t>Vanguard Australian Corporate Fixed Interest Index Fund AUD</t>
  </si>
  <si>
    <t>VAN0065AU</t>
  </si>
  <si>
    <t>Vanguard International Fixed Interest Index Fund (Hedged) AUD</t>
  </si>
  <si>
    <t>VAN0103AU</t>
  </si>
  <si>
    <t>Vanguard Australian Shares High Yield Fund AUD</t>
  </si>
  <si>
    <t>VAN0104AU</t>
  </si>
  <si>
    <t>Vanguard International Shares Index Fund (Hedged) - AUD Class AUD</t>
  </si>
  <si>
    <t>VAN0105AU</t>
  </si>
  <si>
    <t>Vanguard International Credit Securities Index Fund (Hedged) AUD</t>
  </si>
  <si>
    <t>VAN0106AU</t>
  </si>
  <si>
    <t>Vanguard Balanced Index Fund AUD</t>
  </si>
  <si>
    <t>VAN0108AU</t>
  </si>
  <si>
    <t>Vanguard Conservative Index Fund AUD</t>
  </si>
  <si>
    <t>VAN0109AU</t>
  </si>
  <si>
    <t>Vanguard Growth Index Fund AUD</t>
  </si>
  <si>
    <t>VAN0110AU</t>
  </si>
  <si>
    <t>Vanguard High Growth Index Fund AUD</t>
  </si>
  <si>
    <t>VAN0111AU</t>
  </si>
  <si>
    <t>Vanguard Active Global Credit Bond Fund AUD</t>
  </si>
  <si>
    <t>VAN3932AU</t>
  </si>
  <si>
    <t>Vanguard Ethically Conscious Australian Shares Fund Wholesale AUD</t>
  </si>
  <si>
    <t>VAN4509AU</t>
  </si>
  <si>
    <t>Vanguard Ethically Conscious International Shares Index Fund AUD</t>
  </si>
  <si>
    <t>VAN8175AU</t>
  </si>
  <si>
    <t>Ventura High Growth 100 Fund AUD^^</t>
  </si>
  <si>
    <t>VEN0009AU</t>
  </si>
  <si>
    <t>Ventura Growth 70 - Class A AUD^^</t>
  </si>
  <si>
    <t>VEN0027AU</t>
  </si>
  <si>
    <t>Ventura Diversified 50 Fund - Class A AUD^^</t>
  </si>
  <si>
    <t>VEN0028AU</t>
  </si>
  <si>
    <t>Ventura Conservative Fund - Class A AUD^^</t>
  </si>
  <si>
    <t>VEN0029AU</t>
  </si>
  <si>
    <t>Ventura Growth 90 AUD^^</t>
  </si>
  <si>
    <t>VEN0032AU</t>
  </si>
  <si>
    <t>Pendal Short Term Income Securities Fund AUD</t>
  </si>
  <si>
    <t>WFS0377AU</t>
  </si>
  <si>
    <t>Talaria Global Equity Fund - Hedged AUD</t>
  </si>
  <si>
    <t>WFS0547AU</t>
  </si>
  <si>
    <t>Mercer Indexed Defensive Fund AUD</t>
  </si>
  <si>
    <t>WFS0588AU</t>
  </si>
  <si>
    <t>Mercer Indexed Moderate Fund AUD</t>
  </si>
  <si>
    <t>WFS0589AU</t>
  </si>
  <si>
    <t>Mercer Indexed Balanced Fund AUD</t>
  </si>
  <si>
    <t>WFS0590AU</t>
  </si>
  <si>
    <t>Mercer Indexed Growth Fund AUD</t>
  </si>
  <si>
    <t>WFS0591AU</t>
  </si>
  <si>
    <t>Mercer Indexed High Growth Fund AUD</t>
  </si>
  <si>
    <t>WFS0592AU</t>
  </si>
  <si>
    <t>Spheria Australian Smaller Companies Fund AUD</t>
  </si>
  <si>
    <t>WHT0008AU</t>
  </si>
  <si>
    <t>Solaris Core Australian Equity Retail AUD</t>
  </si>
  <si>
    <t>WHT0012AU</t>
  </si>
  <si>
    <t>Resolution Capital Global Property Securities Fund (Managed Fund) AUD</t>
  </si>
  <si>
    <t>WHT0015AU</t>
  </si>
  <si>
    <t>Plato Australian Shares Income Fund AUD</t>
  </si>
  <si>
    <t>WHT0039AU</t>
  </si>
  <si>
    <t>Antipodes Global Value Fund Class P AUD</t>
  </si>
  <si>
    <t>WHT0057AU</t>
  </si>
  <si>
    <t>Spheria Australian Microcap Fund AUD</t>
  </si>
  <si>
    <t>WHT0066AU</t>
  </si>
  <si>
    <t>Life Cycle Global Share Fund Class A AUD</t>
  </si>
  <si>
    <t>WHT0246AU</t>
  </si>
  <si>
    <t>Plato Global Alpha Fund Class A AUD</t>
  </si>
  <si>
    <t>WHT1465AU</t>
  </si>
  <si>
    <t>Resolution Capital Global Property Securities Fund (Unhedged) - SERIES II Class B AUD^^</t>
  </si>
  <si>
    <t>WHT2080AU</t>
  </si>
  <si>
    <t>Solaris Australian Equity Income Fund AUD</t>
  </si>
  <si>
    <t>WHT2589AU</t>
  </si>
  <si>
    <t>Life Cycle Concentrated Global Share Fund Class M AUD^^</t>
  </si>
  <si>
    <t>WHT2802AU</t>
  </si>
  <si>
    <t>Firetrail Australian Small Companies Fund A AUD</t>
  </si>
  <si>
    <t>WHT3093AU</t>
  </si>
  <si>
    <t>Firetrail Australian High Conviction Fund AUD</t>
  </si>
  <si>
    <t>WHT3810AU</t>
  </si>
  <si>
    <t>Solaris Australian Equity Long Short Fund AUD</t>
  </si>
  <si>
    <t>WHT3859AU</t>
  </si>
  <si>
    <t>Life Cycle Global Share Fund Class M AUD^^</t>
  </si>
  <si>
    <t>WHT4795AU</t>
  </si>
  <si>
    <t>Firetrail Absolute Return Fund AUD</t>
  </si>
  <si>
    <t>WHT5134AU</t>
  </si>
  <si>
    <t>Spheria Global Opportunities Fund AUD</t>
  </si>
  <si>
    <t>WHT6704AU</t>
  </si>
  <si>
    <t>Langdon Global Smaller Companies Fund Class A AUD</t>
  </si>
  <si>
    <t>WHT7072AU</t>
  </si>
  <si>
    <t>Hyperion Global Growth Companies Fund B AUD</t>
  </si>
  <si>
    <t>WHT8435AU</t>
  </si>
  <si>
    <t>Life Cycle Concentrated Global Share Fund Class A AUD</t>
  </si>
  <si>
    <t>WHT8756AU</t>
  </si>
  <si>
    <t>Longwave Australian Small Companies Fund A AUD</t>
  </si>
  <si>
    <t>WHT9368AU</t>
  </si>
  <si>
    <t>Life Cycle Global Share Fund Class H (Hedged) AUD</t>
  </si>
  <si>
    <t>WHT9951AU</t>
  </si>
  <si>
    <t>Daintree High Income Trust AUD Unit Class AUD</t>
  </si>
  <si>
    <t>WPC1583AU</t>
  </si>
  <si>
    <t>Daintree Core Income Trust AUD</t>
  </si>
  <si>
    <t>WPC1963AU</t>
  </si>
  <si>
    <t>Perennial Better Future Trust AUD</t>
  </si>
  <si>
    <t>WPC5600AU</t>
  </si>
  <si>
    <t>Australian Unity Property Income Fund AUD</t>
  </si>
  <si>
    <t>YOC0100AU</t>
  </si>
  <si>
    <t>Zurich Investments Global Thematic Share Fund AUD</t>
  </si>
  <si>
    <t>ZUR0061AU</t>
  </si>
  <si>
    <t>Zurich Investments Unhedged Global Growth Fund AUD</t>
  </si>
  <si>
    <t>ZUR0581AU</t>
  </si>
  <si>
    <t>Zurich Investments Concentrated Global Growth Fund AUD</t>
  </si>
  <si>
    <t>ZUR0617AU</t>
  </si>
  <si>
    <t>Term deposits</t>
  </si>
  <si>
    <t>ANZ Bank Term Deposits (Various Terms)*</t>
  </si>
  <si>
    <t>Refer to issuer site</t>
  </si>
  <si>
    <t>Bank of Queensland Term Deposits (Various Terms)*</t>
  </si>
  <si>
    <t>National Australia Bank Term Deposits (Various Terms)*</t>
  </si>
  <si>
    <t>Cash Account:</t>
  </si>
  <si>
    <t>(Indicative rate as at 05-Sep-2025) #</t>
  </si>
  <si>
    <t>Super and Pension</t>
  </si>
  <si>
    <t>Investments</t>
  </si>
  <si>
    <t>Notes:</t>
  </si>
  <si>
    <t>^^ This investment may not be available to every investor. To determine if this investment option is available to you, please speak to your adviser.</t>
  </si>
  <si>
    <t>*  Illiquid - this investment may take longer than 30 days to be redeemed.</t>
  </si>
  <si>
    <t>^  Diversification Guideline applies to Super and Pension only.</t>
  </si>
  <si>
    <t># The returns on the pooled cash account are net of the cash account fee. They are based on historical calculations, subject to change, and are not reliable indicators of future performance.</t>
  </si>
  <si>
    <t>** TMD - Target Market Determination. 
Some investments have distribution conditions/restrictions listed in their TMD which limit initial purchase to only being available to advised investors. Distribution conditions are not applicable if the investment is currently held.
The target market information is provided by the Issuer via a third party. AIL and CFSIL do not guarantee the accuracy and no responsibility arising in any way for errors or omissions is accepted. For the most up to date investment information please refer to the Issuer's TMD.</t>
  </si>
  <si>
    <t>Disclaimers:</t>
  </si>
  <si>
    <t>AIL and CFSIL do not guarantee their accuracy and no responsibility arising in any way for errors or omissions is accepted. Investment and management fees and costs information is sourced from the underlying fund manager. For the most up to date investment and management fees and costs information please refer to the fund manager’s current Product Disclosure Statement.</t>
  </si>
  <si>
    <t>© 2023 Morningstar, Inc. All rights reserved. Neither Morningstar, its affiliates, nor the content providers guarantee the data or content contained herein to be accurate, complete or timely nor will they have any liability for its use or distribution. This report or data has been prepared for clients of Morningstar Australasia Pty Ltd (ABN: 95 090 665 544, AFSL: 240892) and/or New Zealand wholesale clients of Morningstar Research Ltd, subsidiaries of Morningstar, Inc. Any general advice has been provided without reference to your financial objectives, situation or needs. For more information refer to our Financial Services Guide at www.morningstar.com.au/s/fsg.pdf. You should consider the advice in light of these matters and if applicable, the relevant Product Disclosure Statement before making any decision to invest. Morningstar’s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financial adviser. Some material is copyright and published under licence from ASX Operations Pty Ltd ACN 004 523 782</t>
  </si>
  <si>
    <t>Where AIL and CFSIL receive investment rebates from underlying investment managers they will be passed on to investors as per the payment calculation and method relevant to that investment option. Where rebates are disclosed these are indicative only and the actual amount received by investors may vary and be lower or higher than the indicative rebate amount.</t>
  </si>
  <si>
    <t>Avanteos Investments Limited ABN 20 096 259 979, AFSL 245531 (AIL) is the trustee of the 'Avanteos Superannuation Trust' ABN 38 876 896 681 and issuer of CFS Edge Super and Pension. Colonial First State Investments Limited ABN 98 002 348 352, AFSL 232468 (CFSIL) is the Investor Directed Portfolio Service (IDPS) operator and custodian of 'Avanteos Wrap Account Service' which include CFS Edge Investments. This document may include general advice but does not take into account your individual objectives, financial situation or needs. The Target Market Determinations (TMD) for our financial products can be found at www.cfs.com.au/tmd and include a description of who a financial product is appropriate for. You should read the relevant Product Disclosure Statement (PDS), Investor Directed Portfolio Service Guide (IDPS Guide) and Financial Services Guide (FSG) carefully, assess whether the information is appropriate for you, and consider talking to a financial adviser before making an investment decision. The PDS, IDPS Guide and FSG can be obtained from your adviser, cfs.com.au/cfsedge or by calling us on 1300 769 619.</t>
  </si>
  <si>
    <t>Investment list *</t>
  </si>
  <si>
    <t>Portfolio name</t>
  </si>
  <si>
    <t>Portfolio code</t>
  </si>
  <si>
    <r>
      <t xml:space="preserve">Accelerate Series </t>
    </r>
    <r>
      <rPr>
        <b/>
        <vertAlign val="superscript"/>
        <sz val="11"/>
        <rFont val="Calibri"/>
        <family val="2"/>
      </rPr>
      <t>#</t>
    </r>
  </si>
  <si>
    <r>
      <t>Diversification guideline (%)</t>
    </r>
    <r>
      <rPr>
        <b/>
        <vertAlign val="superscript"/>
        <sz val="11"/>
        <rFont val="Calibri"/>
        <family val="2"/>
      </rPr>
      <t>^</t>
    </r>
  </si>
  <si>
    <t>Aequitas Balanced Portfolio</t>
  </si>
  <si>
    <t>EDGAEQB</t>
  </si>
  <si>
    <t>Aequitas Core Equity Portfolio</t>
  </si>
  <si>
    <t>EDGAEQC</t>
  </si>
  <si>
    <t>Aequitas Growth Portfolio</t>
  </si>
  <si>
    <t>EDGAEQG</t>
  </si>
  <si>
    <t>Aequitas Moderately Conservative Portfolio</t>
  </si>
  <si>
    <t>EDGAEQMC</t>
  </si>
  <si>
    <t>Atchison Active – Alternatives Portfolio</t>
  </si>
  <si>
    <t>EDGATCALT</t>
  </si>
  <si>
    <t>Atchison Active – Australian Shares Portfolio</t>
  </si>
  <si>
    <t>EDGATCAAS</t>
  </si>
  <si>
    <t>Atchison Active – Floating Rate Portfolio</t>
  </si>
  <si>
    <t>EDGATCAFR</t>
  </si>
  <si>
    <t>Atchison Active – International Shares Portfolio</t>
  </si>
  <si>
    <t>EDGATCAIS</t>
  </si>
  <si>
    <t>Atchison Active – Long Duration Portfolio</t>
  </si>
  <si>
    <t>EDGATCALD</t>
  </si>
  <si>
    <t>Atchison Active – Real Assets Portfolio</t>
  </si>
  <si>
    <t>EDGATCARA</t>
  </si>
  <si>
    <t>Atchison Active 55 Portfolio</t>
  </si>
  <si>
    <t>EDGATCA55</t>
  </si>
  <si>
    <t>Atchison Active 70 Portfolio</t>
  </si>
  <si>
    <t>EDGATCA70</t>
  </si>
  <si>
    <t>Atchison Dynamic ETF 55 Portfolio</t>
  </si>
  <si>
    <t>EDGATCD55</t>
  </si>
  <si>
    <t>Atchison Dynamic ETF 70 Portfolio</t>
  </si>
  <si>
    <t>EDGATCD70</t>
  </si>
  <si>
    <t>Atrium Risk Targeted 5 Portfolio</t>
  </si>
  <si>
    <t>EDGATRRMM5</t>
  </si>
  <si>
    <t>Atrium Risk Targeted 7 Portfolio</t>
  </si>
  <si>
    <t>EDGATRRMB7</t>
  </si>
  <si>
    <t>Atrium Risk Targeted 9 Portfolio</t>
  </si>
  <si>
    <t>EDGATRRMG9</t>
  </si>
  <si>
    <t>Ausbil Industrials 100 Portfolio</t>
  </si>
  <si>
    <t>EDGASBIND</t>
  </si>
  <si>
    <t>Bennelong Australian Equities Portfolio</t>
  </si>
  <si>
    <t>EDGBENNAE</t>
  </si>
  <si>
    <t>Betashares Dynamic Balanced Portfolio</t>
  </si>
  <si>
    <t>EDGBETDETFB</t>
  </si>
  <si>
    <t>Betashares Dynamic Conservative Portfolio</t>
  </si>
  <si>
    <t>EDGBETDETFC</t>
  </si>
  <si>
    <t>Betashares Dynamic Growth Portfolio</t>
  </si>
  <si>
    <t>EDGBETDETFG</t>
  </si>
  <si>
    <t>Betashares Dynamic High Growth Portfolio</t>
  </si>
  <si>
    <t>EDGBETDETFHG</t>
  </si>
  <si>
    <t>Betashares Dynamic Moderate Portfolio</t>
  </si>
  <si>
    <t>EDGBETDETFM</t>
  </si>
  <si>
    <t>BlackRock Enhanced Strategic Aggressive Portfolio</t>
  </si>
  <si>
    <t>EDGBLRESA</t>
  </si>
  <si>
    <t>BlackRock Enhanced Strategic Balanced Portfolio</t>
  </si>
  <si>
    <t>EDGBLRESB</t>
  </si>
  <si>
    <t>BlackRock Enhanced Strategic Conservative Portfolio</t>
  </si>
  <si>
    <t>EDGBLRESC</t>
  </si>
  <si>
    <t>BlackRock Enhanced Strategic Growth Portfolio</t>
  </si>
  <si>
    <t>EDGBLRESG</t>
  </si>
  <si>
    <t>BlackRock Enhanced Strategic Moderate Portfolio</t>
  </si>
  <si>
    <t>EDGBLRESM</t>
  </si>
  <si>
    <t>BondAdviser Income Plus (Listed) Portfolio</t>
  </si>
  <si>
    <t>EDGBNDINP</t>
  </si>
  <si>
    <t xml:space="preserve">CBRE Concentrated Global Property Portfolio </t>
  </si>
  <si>
    <t>EDGCBRGLO</t>
  </si>
  <si>
    <t>CFS Apex 30 Portfolio~</t>
  </si>
  <si>
    <t>EDGAPXCON</t>
  </si>
  <si>
    <t>Accelerate 100</t>
  </si>
  <si>
    <t>CFS Apex 50 Portfolio~</t>
  </si>
  <si>
    <t>EDGAPXBAL</t>
  </si>
  <si>
    <t>CFS Apex 70 Portfolio~</t>
  </si>
  <si>
    <t>EDGAPXGRO</t>
  </si>
  <si>
    <t>CFS Apex 85 Portfolio~</t>
  </si>
  <si>
    <t>EDGAPXHG</t>
  </si>
  <si>
    <t>CFS Flex 30 Portfolio~</t>
  </si>
  <si>
    <t>EDGFLX30</t>
  </si>
  <si>
    <t>CFS Flex 50 Portfolio~</t>
  </si>
  <si>
    <t>EDGFLX50</t>
  </si>
  <si>
    <t>CFS Flex 70 Portfolio~</t>
  </si>
  <si>
    <t>EDGFLX70</t>
  </si>
  <si>
    <t>CFS Flex 85 Portfolio~</t>
  </si>
  <si>
    <t>EDGFLX85</t>
  </si>
  <si>
    <t>CFS Flex 99 Portfolio~</t>
  </si>
  <si>
    <t>EDGFLX99</t>
  </si>
  <si>
    <t>CFS Index 30 Portfolio~</t>
  </si>
  <si>
    <t>EDGILCON</t>
  </si>
  <si>
    <t>CFS Index 50 Portfolio~</t>
  </si>
  <si>
    <t>EDGILDIV</t>
  </si>
  <si>
    <t>CFS Index 70 Portfolio~</t>
  </si>
  <si>
    <t>EDGILBAL</t>
  </si>
  <si>
    <t>CFS Index 80 Portfolio~</t>
  </si>
  <si>
    <t>EDGILGRO</t>
  </si>
  <si>
    <t>CFS Index 99 Portfolio~</t>
  </si>
  <si>
    <t>EDGILHG</t>
  </si>
  <si>
    <t>ClearBridge Developed Markets Infrastructure Income Portfolio</t>
  </si>
  <si>
    <t>EDGCLEGLO</t>
  </si>
  <si>
    <t>DNR Capital Australian Equities High Conviction Portfolio</t>
  </si>
  <si>
    <t>EDGDNRAEHC</t>
  </si>
  <si>
    <t>DNR Capital Australian Equities Income Portfolio</t>
  </si>
  <si>
    <t>EDGDNRAEI</t>
  </si>
  <si>
    <t>DNR Capital Australian Equities Socially Responsible Portfolio</t>
  </si>
  <si>
    <t>EDGDNRAESR</t>
  </si>
  <si>
    <t>Drummond 100 Plus Portfolio^^</t>
  </si>
  <si>
    <t>EDGDRUS100</t>
  </si>
  <si>
    <t>Drummond Balanced Portfolio</t>
  </si>
  <si>
    <t>EDGDRUABAL</t>
  </si>
  <si>
    <t>Drummond Conservative Portfolio</t>
  </si>
  <si>
    <t>EDGDRUACON</t>
  </si>
  <si>
    <t>Drummond Dynamic Portfolio^^</t>
  </si>
  <si>
    <t>EDGDRUDP</t>
  </si>
  <si>
    <t>Drummond Growth Portfolio</t>
  </si>
  <si>
    <t>EDGDRUAGRO</t>
  </si>
  <si>
    <t>Drummond High Growth Portfolio</t>
  </si>
  <si>
    <t>EDGDRUAHIG</t>
  </si>
  <si>
    <t>Drummond Moderate Portfolio</t>
  </si>
  <si>
    <t>EDGDRUAMOD</t>
  </si>
  <si>
    <t>Drummond Strategic 30 Portfolio^^</t>
  </si>
  <si>
    <t>EDGDRUS30</t>
  </si>
  <si>
    <t>Drummond Strategic 50 (Direct) Portfolio^^</t>
  </si>
  <si>
    <t>EDGDRUD50</t>
  </si>
  <si>
    <t>Drummond Strategic 50 Portfolio^^</t>
  </si>
  <si>
    <t>EDGDRUS50</t>
  </si>
  <si>
    <t>Drummond Strategic 70 (Direct) Portfolio^^</t>
  </si>
  <si>
    <t>EDGDRUD70</t>
  </si>
  <si>
    <t>Drummond Strategic 70 Portfolio^^</t>
  </si>
  <si>
    <t>EDGDRUS70</t>
  </si>
  <si>
    <t>Drummond Strategic 90 (Direct) Portfolio^^</t>
  </si>
  <si>
    <t>EDGDRUD90</t>
  </si>
  <si>
    <t>Drummond Strategic 90 Portfolio^^</t>
  </si>
  <si>
    <t>EDGDRUS90</t>
  </si>
  <si>
    <t>Elston Australian Large Companies Portfolio</t>
  </si>
  <si>
    <t>EDGELSNALC</t>
  </si>
  <si>
    <t>Elston Growth 50 Portfolio</t>
  </si>
  <si>
    <t>EDGELSNM</t>
  </si>
  <si>
    <t>Elston Growth 70 Portfolio</t>
  </si>
  <si>
    <t>EDGELSNB</t>
  </si>
  <si>
    <t>Elston Growth 85 Portfolio</t>
  </si>
  <si>
    <t>EDGELSNG</t>
  </si>
  <si>
    <t>Elston Growth 97 Portfolio</t>
  </si>
  <si>
    <t>EDGELSNHG</t>
  </si>
  <si>
    <t>Fidelity Australian High Conviction Portfolio</t>
  </si>
  <si>
    <t>EDGFIDAOE</t>
  </si>
  <si>
    <t>First Sentier Concentrated Share Portfolio</t>
  </si>
  <si>
    <t>EDGGAMCS</t>
  </si>
  <si>
    <t>First Sentier Ex-20 Australian Share Portfolio</t>
  </si>
  <si>
    <t>EDGGAME20AS</t>
  </si>
  <si>
    <t>Franklin Concentrated Global Equity ex Australia Portfolio</t>
  </si>
  <si>
    <t>EDGFTGE20</t>
  </si>
  <si>
    <t>Infinity Accelerate Balanced Portfolio</t>
  </si>
  <si>
    <t>EIRNINFAB</t>
  </si>
  <si>
    <t>Infinity Accelerate Growth Portfolio</t>
  </si>
  <si>
    <t>EIRNINFAG</t>
  </si>
  <si>
    <t>Infinity Accelerate High Growth Portfolio</t>
  </si>
  <si>
    <t>EIRNINFAHG</t>
  </si>
  <si>
    <t>Infinity Accelerate Moderate Portfolio</t>
  </si>
  <si>
    <t>EIRNINFAM</t>
  </si>
  <si>
    <t>Infinity Alternatives Portfolio</t>
  </si>
  <si>
    <t>EIRNINFA</t>
  </si>
  <si>
    <t>Infinity Australian Equity Portfolio</t>
  </si>
  <si>
    <t>EIRNINFAE</t>
  </si>
  <si>
    <t>Infinity Balanced Portfolio</t>
  </si>
  <si>
    <t>EIRNINFB</t>
  </si>
  <si>
    <t>Infinity Blended Balanced Portfolio</t>
  </si>
  <si>
    <t>EIRNINFBB</t>
  </si>
  <si>
    <t>Infinity Core Australian Equity Portfolio</t>
  </si>
  <si>
    <t>EIRNINFCAE</t>
  </si>
  <si>
    <t>Infinity Fixed Income Portfolio</t>
  </si>
  <si>
    <t>EIRNINFFI</t>
  </si>
  <si>
    <t>Infinity Global Equity Portfolio</t>
  </si>
  <si>
    <t>EIRNINFGE</t>
  </si>
  <si>
    <t>Infinity Growth Portfolio</t>
  </si>
  <si>
    <t>EIRNINFG</t>
  </si>
  <si>
    <t>Infinity High Growth Portfolio</t>
  </si>
  <si>
    <t>EIRNINFHG</t>
  </si>
  <si>
    <t>Infinity Index Plus Portfolio</t>
  </si>
  <si>
    <t>EIRNINFIP</t>
  </si>
  <si>
    <t>Infinity Moderate Portfolio</t>
  </si>
  <si>
    <t>EIRNINFM</t>
  </si>
  <si>
    <t>Infinity Property and Infrastructure Portfolio</t>
  </si>
  <si>
    <t>EIRNINFPAI</t>
  </si>
  <si>
    <t>Infinity SMID Australian Equity Portfolio</t>
  </si>
  <si>
    <t>EIRNINFSAE</t>
  </si>
  <si>
    <t>Innova Active 100 Balanced Portfolio</t>
  </si>
  <si>
    <t>EDGINABAL</t>
  </si>
  <si>
    <t>Innova Active 100 Conservative Portfolio</t>
  </si>
  <si>
    <t>EDGINACON</t>
  </si>
  <si>
    <t>Innova Active 100 Growth Portfolio</t>
  </si>
  <si>
    <t>EDGINAGRW</t>
  </si>
  <si>
    <t>Innova Active 100 High Growth Portfolio</t>
  </si>
  <si>
    <t>EDGINAHGW</t>
  </si>
  <si>
    <t>Innova Active 100 Moderately Conservative Portfolio</t>
  </si>
  <si>
    <t>EDGINAMOD</t>
  </si>
  <si>
    <t>Innova Aspiration Portfolio</t>
  </si>
  <si>
    <t>EDGINNAA</t>
  </si>
  <si>
    <t>Innova Balanced Portfolio</t>
  </si>
  <si>
    <t>EDGINNAB</t>
  </si>
  <si>
    <t>Innova Growth Portfolio</t>
  </si>
  <si>
    <t>EDGINNAG</t>
  </si>
  <si>
    <t>Innova Lifestyle Preservation Portfolio</t>
  </si>
  <si>
    <t>EDGINNALP</t>
  </si>
  <si>
    <t>Innova Moderately Conservative Portfolio</t>
  </si>
  <si>
    <t>EDGINNAMC</t>
  </si>
  <si>
    <t>Innova Wealth Creation Portfolio</t>
  </si>
  <si>
    <t>EDGINNAWC</t>
  </si>
  <si>
    <t>InvestSense Diversified Portfolio 1</t>
  </si>
  <si>
    <t>EDGINVDP1</t>
  </si>
  <si>
    <t>Accelerate 30</t>
  </si>
  <si>
    <t>InvestSense Diversified Portfolio 2</t>
  </si>
  <si>
    <t>EDGINVDP2</t>
  </si>
  <si>
    <t>InvestSense Diversified Portfolio 3</t>
  </si>
  <si>
    <t>EDGINVDP3</t>
  </si>
  <si>
    <t>InvestSense Diversified Portfolio 4</t>
  </si>
  <si>
    <t>EDGINVDP4</t>
  </si>
  <si>
    <t>InvestSense Diversified Portfolio 5</t>
  </si>
  <si>
    <t>EDGINVDP5</t>
  </si>
  <si>
    <t>Lazard Global Equity Franchise Portfolio</t>
  </si>
  <si>
    <t>EDGLAZGLO</t>
  </si>
  <si>
    <t>Lonsec Active Managed Portfolio – Balanced</t>
  </si>
  <si>
    <t>EDGLONAAB</t>
  </si>
  <si>
    <t>Lonsec Active Managed Portfolio – Conservative</t>
  </si>
  <si>
    <t>EDGLONAAC</t>
  </si>
  <si>
    <t>Lonsec Active Managed Portfolio – Defensive</t>
  </si>
  <si>
    <t>EDGLONAAD</t>
  </si>
  <si>
    <t>Lonsec Active Managed Portfolio – Growth</t>
  </si>
  <si>
    <t>EDGLONAAG</t>
  </si>
  <si>
    <t>Lonsec Active Managed Portfolio – High Growth</t>
  </si>
  <si>
    <t>EDGLONAAHG</t>
  </si>
  <si>
    <t>Lonsec Active Managed Portfolio – Moderate</t>
  </si>
  <si>
    <t>EDGLONAAM</t>
  </si>
  <si>
    <t>Lonsec Listed Managed Portfolio - Balanced</t>
  </si>
  <si>
    <t>EDGLONLMPB</t>
  </si>
  <si>
    <t>Lonsec Listed Managed Portfolio - Growth</t>
  </si>
  <si>
    <t>EDGLONLMPG</t>
  </si>
  <si>
    <t>Lonsec Listed Managed Portfolio - High Growth</t>
  </si>
  <si>
    <t>EDGLONLMPHG</t>
  </si>
  <si>
    <t>Lonsec Listed Managed Portfolio – Conservative</t>
  </si>
  <si>
    <t>EDGLONLCON</t>
  </si>
  <si>
    <t>Lonsec Multi-Asset Managed Portfolios – Balanced</t>
  </si>
  <si>
    <t>EDGLONMAB</t>
  </si>
  <si>
    <t>Lonsec Multi-Asset Managed Portfolios – Growth</t>
  </si>
  <si>
    <t>EDGLONMAG</t>
  </si>
  <si>
    <t>Lonsec Multi-Asset Managed Portfolios – High Growth</t>
  </si>
  <si>
    <t>EDGLONMAHG</t>
  </si>
  <si>
    <t>Lonsec Retirement Managed Portfolios – Balanced</t>
  </si>
  <si>
    <t>EDGLONRB</t>
  </si>
  <si>
    <t>Lonsec Retirement Managed Portfolios – Conservative</t>
  </si>
  <si>
    <t>EDGLONRC</t>
  </si>
  <si>
    <t>Lonsec Retirement Managed Portfolios – Growth</t>
  </si>
  <si>
    <t>EDGLONRG</t>
  </si>
  <si>
    <t>Lonsec SMA - Core</t>
  </si>
  <si>
    <t>EDGLONSMAC</t>
  </si>
  <si>
    <t>Lonsec Sustainable Managed Portfolio - Balanced</t>
  </si>
  <si>
    <t>EDGLONSMPB</t>
  </si>
  <si>
    <t>Lonsec Sustainable Managed Portfolio - Growth</t>
  </si>
  <si>
    <t>EDGLONSMPG</t>
  </si>
  <si>
    <t>Lonsec Sustainable Managed Portfolio - High Growth</t>
  </si>
  <si>
    <t>EDGLONSMHG</t>
  </si>
  <si>
    <t>Mercer 100 CoreSeries Balanced Portfolio</t>
  </si>
  <si>
    <t>EDGMCSBAL</t>
  </si>
  <si>
    <t>Mercer 100 CoreSeries Conservative Portfolio</t>
  </si>
  <si>
    <t>EDGMCSCON</t>
  </si>
  <si>
    <t>Mercer 100 CoreSeries Growth Portfolio</t>
  </si>
  <si>
    <t>EDGMCSGRW</t>
  </si>
  <si>
    <t>Mercer 100 CoreSeries High Growth Portfolio</t>
  </si>
  <si>
    <t>EDGMCSHGW</t>
  </si>
  <si>
    <t>Mercer 100 CoreSeries Moderate Portfolio</t>
  </si>
  <si>
    <t>EDGMCSMOD</t>
  </si>
  <si>
    <t>Morningstar Aggressive Portfolio</t>
  </si>
  <si>
    <t>EDGMORNA</t>
  </si>
  <si>
    <t>Morningstar All Growth Portfolio</t>
  </si>
  <si>
    <t>EDGMORNAG</t>
  </si>
  <si>
    <t>Morningstar Balanced Growth Portfolio</t>
  </si>
  <si>
    <t>EDGMORNBG</t>
  </si>
  <si>
    <t>Morningstar Balanced Portfolio</t>
  </si>
  <si>
    <t>EDGMORNB</t>
  </si>
  <si>
    <t>Morningstar Conservative Portfolio</t>
  </si>
  <si>
    <t>EDGMORNC</t>
  </si>
  <si>
    <t>Morningstar Diversified Income Portfolio</t>
  </si>
  <si>
    <t>EDGMORNDI</t>
  </si>
  <si>
    <t>Morningstar Growth Portfolio</t>
  </si>
  <si>
    <t>EDGMORNG</t>
  </si>
  <si>
    <t>Morningstar High Growth Portfolio</t>
  </si>
  <si>
    <t>EDGMORNHG</t>
  </si>
  <si>
    <t>Morningstar Medalist Core All Growth Portfolio</t>
  </si>
  <si>
    <t>EDGMORNMCAG</t>
  </si>
  <si>
    <t>Morningstar Medalist Core Balanced Portfolio</t>
  </si>
  <si>
    <t>EDGMORNMCB</t>
  </si>
  <si>
    <t>Morningstar Medalist Core Conservative Portfolio</t>
  </si>
  <si>
    <t>EDGMORNMCC</t>
  </si>
  <si>
    <t>Morningstar Medalist Core Growth Portfolio</t>
  </si>
  <si>
    <t>EDGMORNMCG</t>
  </si>
  <si>
    <t>Morningstar Medalist Core High Growth Portfolio</t>
  </si>
  <si>
    <t>EDGMORNMCHG</t>
  </si>
  <si>
    <t>Morningstar Medalist Core Moderate Portfolio</t>
  </si>
  <si>
    <t>EDGMORNMCM</t>
  </si>
  <si>
    <t>Morningstar Moderate Portfolio</t>
  </si>
  <si>
    <t>EDGMORNM</t>
  </si>
  <si>
    <t>Quilla Enhanced High Growth Portfolio</t>
  </si>
  <si>
    <t>EDGQUIHG</t>
  </si>
  <si>
    <t>Quilla Income Generator Portfolio</t>
  </si>
  <si>
    <t>EDGQUIGEN</t>
  </si>
  <si>
    <t>Quilla Wealth Accelerator Portfolio</t>
  </si>
  <si>
    <t>EDGQUIACC</t>
  </si>
  <si>
    <t>Quilla Wealth Accumulator Portfolio</t>
  </si>
  <si>
    <t>EDGQUIACU</t>
  </si>
  <si>
    <t>Real Asset Management Diversified Fixed Interest &amp; Credit Portfolio</t>
  </si>
  <si>
    <t>EDGRAMDFIC</t>
  </si>
  <si>
    <t>Russell Investment Managed Portfolio – Diversified 50</t>
  </si>
  <si>
    <t>EDGRUSD</t>
  </si>
  <si>
    <t>Russell Investments Managed Portfolio – Balanced</t>
  </si>
  <si>
    <t>EDGRUSB</t>
  </si>
  <si>
    <t>Russell Investments Managed Portfolio – Conservative</t>
  </si>
  <si>
    <t>EDGRUSC</t>
  </si>
  <si>
    <t>Russell Investments Managed Portfolio – Geared 120</t>
  </si>
  <si>
    <t>EDGRUSG120</t>
  </si>
  <si>
    <t>Russell Investments Managed Portfolio – Growth</t>
  </si>
  <si>
    <t>EDGRUSG</t>
  </si>
  <si>
    <t>Russell Investments Managed Portfolio – High Growth</t>
  </si>
  <si>
    <t>EDGRUSHG</t>
  </si>
  <si>
    <t>Sandstone Income Portfolio</t>
  </si>
  <si>
    <t>EDGMSTINC</t>
  </si>
  <si>
    <t>Sestante Dynamic Star Aggressive Portfolio</t>
  </si>
  <si>
    <t>EDGAZDAGG</t>
  </si>
  <si>
    <t>Sestante Dynamic Star Assertive Portfolio</t>
  </si>
  <si>
    <t>EDGAZDASS</t>
  </si>
  <si>
    <t>Sestante Dynamic Star Balanced Portfolio</t>
  </si>
  <si>
    <t>EDGAZDBAL</t>
  </si>
  <si>
    <t>Sestante Dynamic Star Conservative Portfolio</t>
  </si>
  <si>
    <t>EDGAZDCON</t>
  </si>
  <si>
    <t>Sestante Dynamic Star Moderate Portfolio</t>
  </si>
  <si>
    <t>EDGAZDMOD</t>
  </si>
  <si>
    <t>T. Rowe Price Concentrated Global Equity Portfolio</t>
  </si>
  <si>
    <t>EDGTROGLO</t>
  </si>
  <si>
    <t>UBS ASX20 Index Portfolio</t>
  </si>
  <si>
    <t>EDGUBS20I</t>
  </si>
  <si>
    <t>Walter Scott Concentrated Global Portfolio</t>
  </si>
  <si>
    <t>EDGWSTCON</t>
  </si>
  <si>
    <t>Watershed Balanced Portfolio</t>
  </si>
  <si>
    <t>EDGWTRBAL</t>
  </si>
  <si>
    <t>Watershed Growth Portfolio</t>
  </si>
  <si>
    <t>EDGWTRGRW</t>
  </si>
  <si>
    <t>Watershed High Growth Portfolio</t>
  </si>
  <si>
    <t>EDGWTRHGW</t>
  </si>
  <si>
    <t>Watershed International Share Portfolio</t>
  </si>
  <si>
    <t>EDGWTRITL</t>
  </si>
  <si>
    <t>Watershed Moderate Portfolio</t>
  </si>
  <si>
    <t>EDGWTRMOD</t>
  </si>
  <si>
    <t>*Access to some Managed Account portfolios may be restricted to clients of associated dealer groups. Please speak to your adviser for details of portfolios accessible to you. Tailored Managed Account portfolios are unique to each respective business which operate these and therefore will not be published on cfs.com.au/cfsedge or in this list. To obtain information about a Tailored Managed Account portfolio please contact ProductInnovationManagedAccounts@cfs.com.au</t>
  </si>
  <si>
    <t># Accelerate Series SMAs may be entitled to discounts on the CFS Edge Administration fee. Please refer to the 'Fees and other costs' section of the CFS Edge Super and Pension Product Disclosure Statement &amp; CFS Edge Investments IDPS Guide. Where a SMA no longer qualifies for the Accelerate Series due to a Portfolio Management decision, any eligible discount on the CFS Edge Administration fee will be removed.  We'll give you at least 30 day's notice before this occurs.</t>
  </si>
  <si>
    <t>~This investment forms part of the limited menu for Direct Investors as disclosed in the Signature Managed Account PDS.</t>
  </si>
  <si>
    <t>The Target Market Determination can be obtained at www.cfs.com.au/adviser/platform-adviser/products/managed-accounts/managed-account-solutions/cfs-edge-managed-accounts.html</t>
  </si>
  <si>
    <t>AIL and CFSIL do not guarantee their accuracy and no responsibility arising in any way for errors or omissions is accepted. Investment and management fees and costs information is sourced from the  responsible entity and/or portfolio manager. For the most up to date investment and management fees and costs information please refer to the applicable managed account product disclosure statement.</t>
  </si>
  <si>
    <t>The fees and costs shown are indicative figures only. AIL and CFSIL do not guarantee their accuracy and no responsibility arising in any way for errors or omissions is accepted. Investment and management fees and costs information is sourced from the  responsible entity and/or portfolio manager. For the most up to date investment and management fees and costs information please refer to the applicable managed account product disclosure statement.</t>
  </si>
  <si>
    <t>Superannuation and pension members, and Investors of the Investor Directed Portfolio Service (IDPS), will have access to the following Australian listed securities.</t>
  </si>
  <si>
    <t>Investment Group</t>
  </si>
  <si>
    <t>ASX Security Name</t>
  </si>
  <si>
    <t>ASX Code</t>
  </si>
  <si>
    <t>Security Type</t>
  </si>
  <si>
    <t>Super/Pension</t>
  </si>
  <si>
    <t>Listed Securities - General</t>
  </si>
  <si>
    <t>29METALS Ltd</t>
  </si>
  <si>
    <t>29M</t>
  </si>
  <si>
    <t>Equity</t>
  </si>
  <si>
    <t>Listed Securities - Property</t>
  </si>
  <si>
    <t>360 Capital Group</t>
  </si>
  <si>
    <t>TGP</t>
  </si>
  <si>
    <t>REIT - Real Estate Investment Trust</t>
  </si>
  <si>
    <t>360 Capital Mortgage REIT</t>
  </si>
  <si>
    <t>TCF</t>
  </si>
  <si>
    <t>360 Capital REIT</t>
  </si>
  <si>
    <t>TOT</t>
  </si>
  <si>
    <t>3P Learning Ltd</t>
  </si>
  <si>
    <t>3PL</t>
  </si>
  <si>
    <t>4DMEDICAL Ltd</t>
  </si>
  <si>
    <t>4DX</t>
  </si>
  <si>
    <t>4DS Memory Ltd</t>
  </si>
  <si>
    <t>4DS</t>
  </si>
  <si>
    <t>5E Advanced Materials Inc</t>
  </si>
  <si>
    <t>5EA</t>
  </si>
  <si>
    <t>Depository Receipts</t>
  </si>
  <si>
    <t>5G Networks Ltd</t>
  </si>
  <si>
    <t>5GN</t>
  </si>
  <si>
    <t>88 Energy Ltd</t>
  </si>
  <si>
    <t>88E</t>
  </si>
  <si>
    <t>Abacus Group</t>
  </si>
  <si>
    <t>ABG</t>
  </si>
  <si>
    <t>Abacus Storage King</t>
  </si>
  <si>
    <t>ASK</t>
  </si>
  <si>
    <t>ABX Group Ltd</t>
  </si>
  <si>
    <t>ABX</t>
  </si>
  <si>
    <t>Accent Group Ltd</t>
  </si>
  <si>
    <t>AX1</t>
  </si>
  <si>
    <t>Acrow Ltd</t>
  </si>
  <si>
    <t>ACF</t>
  </si>
  <si>
    <t>Actinogen Medical Ltd</t>
  </si>
  <si>
    <t>ACW</t>
  </si>
  <si>
    <t>ACTINOGEN MEDICAL LTD OPTION 31/05/27 AUD0.05</t>
  </si>
  <si>
    <t>ACWOD</t>
  </si>
  <si>
    <t>Company Option</t>
  </si>
  <si>
    <t>ASX Listed Securities - Exchange Traded Funds</t>
  </si>
  <si>
    <t>Activex Ardea Real Outcome Bond Fund (Managed Fund)</t>
  </si>
  <si>
    <t>XARO</t>
  </si>
  <si>
    <t>Exchange Traded Fund</t>
  </si>
  <si>
    <t>ACTIVEX KAPSTREAM ABS RTN INC FD TRADING MNGD UNITS FULLY PAID***</t>
  </si>
  <si>
    <t>XKAP</t>
  </si>
  <si>
    <t>Acumentis Group Ltd</t>
  </si>
  <si>
    <t>ACU</t>
  </si>
  <si>
    <t>AD1 Holdings Ltd</t>
  </si>
  <si>
    <t>AD1</t>
  </si>
  <si>
    <t>Adairs Ltd</t>
  </si>
  <si>
    <t>ADH</t>
  </si>
  <si>
    <t>ADAVALE RESOURCES LIMITED OPTION 31/12/2025 AUD0.6</t>
  </si>
  <si>
    <t>ADDOA</t>
  </si>
  <si>
    <t>Adavale Resources Ltd</t>
  </si>
  <si>
    <t>ADD</t>
  </si>
  <si>
    <t>Adore Beauty Group Ltd</t>
  </si>
  <si>
    <t>ABY</t>
  </si>
  <si>
    <t>Adslot Ltd</t>
  </si>
  <si>
    <t>ADS</t>
  </si>
  <si>
    <t>Aeris Resources Ltd</t>
  </si>
  <si>
    <t>AIS</t>
  </si>
  <si>
    <t>Aerometrex Ltd</t>
  </si>
  <si>
    <t>AMX</t>
  </si>
  <si>
    <t>AGL Energy Ltd</t>
  </si>
  <si>
    <t>AGL</t>
  </si>
  <si>
    <t>Agrimin Ltd</t>
  </si>
  <si>
    <t>AMN</t>
  </si>
  <si>
    <t>Ai-Media Technologies Ltd</t>
  </si>
  <si>
    <t>AIM</t>
  </si>
  <si>
    <t>Aic Mines Ltd</t>
  </si>
  <si>
    <t>A1M</t>
  </si>
  <si>
    <t>Ainsworth Game Technology Ltd</t>
  </si>
  <si>
    <t>AGI</t>
  </si>
  <si>
    <t>Air New Zealand Ltd</t>
  </si>
  <si>
    <t>AIZ</t>
  </si>
  <si>
    <t>Airlie Australian Share Fund (Managed Fund)</t>
  </si>
  <si>
    <t>AASF</t>
  </si>
  <si>
    <t>Alcidion Group Ltd</t>
  </si>
  <si>
    <t>ALC</t>
  </si>
  <si>
    <t>ALCOA CORPORATION NPV CDI 1:1</t>
  </si>
  <si>
    <t>AAI</t>
  </si>
  <si>
    <t>Alice QUEEN Ltd</t>
  </si>
  <si>
    <t>AQX</t>
  </si>
  <si>
    <t>Alkane Resources Ltd</t>
  </si>
  <si>
    <t>ALK</t>
  </si>
  <si>
    <t>Alliance Aviation Services Ltd</t>
  </si>
  <si>
    <t>AQZ</t>
  </si>
  <si>
    <t>ALLIANCEBERNSTEIN INV MGMT AUSTRALIA CHI X VOL EQT***</t>
  </si>
  <si>
    <t>AMVE</t>
  </si>
  <si>
    <t>Alligator Energy Ltd</t>
  </si>
  <si>
    <t>AGE</t>
  </si>
  <si>
    <t>ALLIGATOR ENERGY LTD OPTION 28/11/25 AUD0.078</t>
  </si>
  <si>
    <t>AGEOC</t>
  </si>
  <si>
    <t>Alpha Hpa Ltd</t>
  </si>
  <si>
    <t>A4N</t>
  </si>
  <si>
    <t>Alphinity Global Sustainable Fund (Managed Fund)</t>
  </si>
  <si>
    <t>XASG</t>
  </si>
  <si>
    <t>Als Ltd</t>
  </si>
  <si>
    <t>ALQ</t>
  </si>
  <si>
    <t>Althea Group Holdings Ltd</t>
  </si>
  <si>
    <t>AGH</t>
  </si>
  <si>
    <t>AMA Group Ltd</t>
  </si>
  <si>
    <t>AMA</t>
  </si>
  <si>
    <t>Amaero International Ltd</t>
  </si>
  <si>
    <t>3DA</t>
  </si>
  <si>
    <t>Amcil Ltd</t>
  </si>
  <si>
    <t>AMH</t>
  </si>
  <si>
    <t>Amcor Plc</t>
  </si>
  <si>
    <t>AMC</t>
  </si>
  <si>
    <t>AML3D Ltd</t>
  </si>
  <si>
    <t>AL3</t>
  </si>
  <si>
    <t>AMOTIV LIMITED NPV</t>
  </si>
  <si>
    <t>AOV</t>
  </si>
  <si>
    <t>Listed Securities - Interest Rate Securities</t>
  </si>
  <si>
    <t>AMP BANK LIMITED FRN CNV SUB PERP AUD1000</t>
  </si>
  <si>
    <t>AMPPB</t>
  </si>
  <si>
    <t>Preference Share</t>
  </si>
  <si>
    <t>AMP Ltd</t>
  </si>
  <si>
    <t>AMP</t>
  </si>
  <si>
    <t>AMPLITUDE ENERGY NPV</t>
  </si>
  <si>
    <t>AEL</t>
  </si>
  <si>
    <t>Ampol Ltd</t>
  </si>
  <si>
    <t>ALD</t>
  </si>
  <si>
    <t>Anatara Lifesciences Ltd</t>
  </si>
  <si>
    <t>ANR</t>
  </si>
  <si>
    <t>ANDEAN SILVER LTD NPV</t>
  </si>
  <si>
    <t>ASL</t>
  </si>
  <si>
    <t>Andromeda Metals Ltd</t>
  </si>
  <si>
    <t>ADN</t>
  </si>
  <si>
    <t>Ansell Ltd</t>
  </si>
  <si>
    <t>ANN</t>
  </si>
  <si>
    <t>Anson Resources Ltd</t>
  </si>
  <si>
    <t>ASN</t>
  </si>
  <si>
    <t>Anteris Technologies Ltd</t>
  </si>
  <si>
    <t>AVR</t>
  </si>
  <si>
    <t>Antipa Minerals Ltd</t>
  </si>
  <si>
    <t>AZY</t>
  </si>
  <si>
    <t>Antipodes Global Shares (Quoted Managed Fund)</t>
  </si>
  <si>
    <t>AGX1</t>
  </si>
  <si>
    <t>ANZ - CAP NOTE 7-BBSW+2.70% PERP NON-CUM RED</t>
  </si>
  <si>
    <t>AN3PJ</t>
  </si>
  <si>
    <t>ANZ BANK - CAP NOTE 6-BBSW+3.00 PERP NON-CUM RED</t>
  </si>
  <si>
    <t>AN3PI</t>
  </si>
  <si>
    <t>ANZ BANK - CAP NOTE 9</t>
  </si>
  <si>
    <t>AN3PL</t>
  </si>
  <si>
    <t>ANZ GROUP HOLDINGS LIMITED 2.75% PERP NON CUM PREF</t>
  </si>
  <si>
    <t>AN3PK</t>
  </si>
  <si>
    <t>ANZ Group Holdings Ltd</t>
  </si>
  <si>
    <t>ANZ</t>
  </si>
  <si>
    <t>Aoris Int Fund (Class B) (Unhedged) (Managed Fund)</t>
  </si>
  <si>
    <t>BAOR</t>
  </si>
  <si>
    <t>Aoris Int Fund (Class D) (Hedged) (Managed Fund)</t>
  </si>
  <si>
    <t>DAOR</t>
  </si>
  <si>
    <t>APA Group</t>
  </si>
  <si>
    <t>APA</t>
  </si>
  <si>
    <t>Stapled Security</t>
  </si>
  <si>
    <t>APC MINERALS LIMITED OPTION 19/04/2027 AUD0.06</t>
  </si>
  <si>
    <t>APCO</t>
  </si>
  <si>
    <t>Apostle Dundas Global Equity Classd (Managed Fund)</t>
  </si>
  <si>
    <t>ADEF</t>
  </si>
  <si>
    <t>Appen Ltd</t>
  </si>
  <si>
    <t>APX</t>
  </si>
  <si>
    <t>Arafura Rare EARTHS Ltd</t>
  </si>
  <si>
    <t>ARU</t>
  </si>
  <si>
    <t>ARB Corporation Ltd</t>
  </si>
  <si>
    <t>ARB</t>
  </si>
  <si>
    <t>Archer Materials Ltd</t>
  </si>
  <si>
    <t>AXE</t>
  </si>
  <si>
    <t>Ardiden Ltd</t>
  </si>
  <si>
    <t>ADV</t>
  </si>
  <si>
    <t>Arena REIT</t>
  </si>
  <si>
    <t>ARF</t>
  </si>
  <si>
    <t>Argent Minerals Ltd</t>
  </si>
  <si>
    <t>ARD</t>
  </si>
  <si>
    <t>Argo Global Listed Infrastructure Ltd</t>
  </si>
  <si>
    <t>ALI</t>
  </si>
  <si>
    <t>Argo Investments Ltd</t>
  </si>
  <si>
    <t>ARG</t>
  </si>
  <si>
    <t>Argosy Minerals Ltd</t>
  </si>
  <si>
    <t>AGY</t>
  </si>
  <si>
    <t>ARIKA RESOURCES LIMITED NPV</t>
  </si>
  <si>
    <t>ARI</t>
  </si>
  <si>
    <t>Aristocrat Leisure Ltd</t>
  </si>
  <si>
    <t>ALL</t>
  </si>
  <si>
    <t>Arizona Lithium Ltd</t>
  </si>
  <si>
    <t>AZL</t>
  </si>
  <si>
    <t>Arn Media Ltd</t>
  </si>
  <si>
    <t>A1N</t>
  </si>
  <si>
    <t>Aroa Biosurgery Ltd</t>
  </si>
  <si>
    <t>ARX</t>
  </si>
  <si>
    <t>Arovella Therapeutics Ltd</t>
  </si>
  <si>
    <t>ALA</t>
  </si>
  <si>
    <t>Artemis Resources Ltd</t>
  </si>
  <si>
    <t>ARV</t>
  </si>
  <si>
    <t>Articore Group Limited</t>
  </si>
  <si>
    <t>ATG</t>
  </si>
  <si>
    <t>Aspen Group</t>
  </si>
  <si>
    <t>APZ</t>
  </si>
  <si>
    <t>Associate Global Partners Ltd</t>
  </si>
  <si>
    <t>APL</t>
  </si>
  <si>
    <t>ASTUTE METALS NL OPTION 21/08/26 AUD0.05</t>
  </si>
  <si>
    <t>ASEO</t>
  </si>
  <si>
    <t>ASX Ltd</t>
  </si>
  <si>
    <t>ASX</t>
  </si>
  <si>
    <t>Atlantic Lithium Ltd</t>
  </si>
  <si>
    <t>A11</t>
  </si>
  <si>
    <t>Atlas Arteria</t>
  </si>
  <si>
    <t>ALX</t>
  </si>
  <si>
    <t>Atomo Diagnostics Ltd</t>
  </si>
  <si>
    <t>AT1</t>
  </si>
  <si>
    <t>Atomos Ltd</t>
  </si>
  <si>
    <t>AMS</t>
  </si>
  <si>
    <t>Atturra Ltd</t>
  </si>
  <si>
    <t>ATA</t>
  </si>
  <si>
    <t>AUB Group Ltd</t>
  </si>
  <si>
    <t>AUB</t>
  </si>
  <si>
    <t>Auckland International Airport Ltd</t>
  </si>
  <si>
    <t>AIA</t>
  </si>
  <si>
    <t>Audinate Group Ltd</t>
  </si>
  <si>
    <t>AD8</t>
  </si>
  <si>
    <t>Audio Pixels Holdings Ltd</t>
  </si>
  <si>
    <t>AKP</t>
  </si>
  <si>
    <t>Augustus Minerals Ltd</t>
  </si>
  <si>
    <t>AUG</t>
  </si>
  <si>
    <t>Auking Mining Ltd</t>
  </si>
  <si>
    <t>AKN</t>
  </si>
  <si>
    <t>Aumake Ltd</t>
  </si>
  <si>
    <t>AUK</t>
  </si>
  <si>
    <t>Aura Energy Ltd</t>
  </si>
  <si>
    <t>AEE</t>
  </si>
  <si>
    <t>AUREKA LIMITED NPV</t>
  </si>
  <si>
    <t>AKA</t>
  </si>
  <si>
    <t>Aurelia Metals Ltd</t>
  </si>
  <si>
    <t>AMI</t>
  </si>
  <si>
    <t>Aurizon Holdings Ltd</t>
  </si>
  <si>
    <t>AZJ</t>
  </si>
  <si>
    <t>Aurum Resources Ltd</t>
  </si>
  <si>
    <t>AUE</t>
  </si>
  <si>
    <t>Aussie Broadband Ltd</t>
  </si>
  <si>
    <t>ABB</t>
  </si>
  <si>
    <t>Austal Ltd</t>
  </si>
  <si>
    <t>ASB</t>
  </si>
  <si>
    <t>Austin Engineering Ltd</t>
  </si>
  <si>
    <t>ANG</t>
  </si>
  <si>
    <t>AUSTRALIA(CMNWLTH) 1.25% SNR 21/05/32 AUD1000</t>
  </si>
  <si>
    <t>GSBI32</t>
  </si>
  <si>
    <t>Bond</t>
  </si>
  <si>
    <t>AUSTRALIA(CMNWLTH) 2.25% SNR 21/05/2028 AUD100</t>
  </si>
  <si>
    <t>GSBI28</t>
  </si>
  <si>
    <t>AUSTRALIA(CMNWLTH) 2.5% SNR 21/05/2030 AUD100</t>
  </si>
  <si>
    <t>GSBI30</t>
  </si>
  <si>
    <t>AUSTRALIA(CMNWLTH) 2.75% SNR 21/05/2041 AUD100</t>
  </si>
  <si>
    <t>GSBI41</t>
  </si>
  <si>
    <t>AUSTRALIA(CMNWLTH) 3% SNR 21/03/2047 AUD100</t>
  </si>
  <si>
    <t>GSBE47</t>
  </si>
  <si>
    <t>AUSTRALIA(CMNWLTH) 3.25% SNR 21/04/2029 AUD100</t>
  </si>
  <si>
    <t>GSBG29</t>
  </si>
  <si>
    <t>AUSTRALIA(CMNWLTH) 3.75% GTD 21/05/2034 AUD100</t>
  </si>
  <si>
    <t>GSBI34</t>
  </si>
  <si>
    <t>AUSTRALIA(CMNWLTH) 3.75% SNR 21/04/2037 AUD100</t>
  </si>
  <si>
    <t>GSBG37</t>
  </si>
  <si>
    <t>AUSTRALIA(CMNWLTH) 4.25% SNR 21/04/2026 AUD100</t>
  </si>
  <si>
    <t>GSBG26</t>
  </si>
  <si>
    <t>AUSTRALIA(CMNWLTH) 4.5% SNR 21/04/2033 AUD100</t>
  </si>
  <si>
    <t>GSBG33</t>
  </si>
  <si>
    <t>AUSTRALIA(CMNWLTH) 4.75% SNR 21/04/2027 AUD100</t>
  </si>
  <si>
    <t>GSBG27</t>
  </si>
  <si>
    <t>Australian Agricultural Company Ltd</t>
  </si>
  <si>
    <t>AAC</t>
  </si>
  <si>
    <t>Australian Clinical Labs Ltd</t>
  </si>
  <si>
    <t>ACL</t>
  </si>
  <si>
    <t>Australian Dairy Nutritionals Ltd</t>
  </si>
  <si>
    <t>AHF</t>
  </si>
  <si>
    <t>Australian Ethical Investment Ltd</t>
  </si>
  <si>
    <t>AEF</t>
  </si>
  <si>
    <t>AUSTRALIAN ETHICAL INVESTMENTS AUS ETHICAL HIGH CONVICTION FUND***</t>
  </si>
  <si>
    <t>AEAE</t>
  </si>
  <si>
    <t>Australian Finance Group Ltd</t>
  </si>
  <si>
    <t>AFG</t>
  </si>
  <si>
    <t>Australian Foundation Investment Company Ltd</t>
  </si>
  <si>
    <t>AFI</t>
  </si>
  <si>
    <t>Australian Mines Ltd</t>
  </si>
  <si>
    <t>AUZ</t>
  </si>
  <si>
    <t>Australian Pacific Coal Ltd</t>
  </si>
  <si>
    <t>AQC</t>
  </si>
  <si>
    <t>Australian Potash Ltd</t>
  </si>
  <si>
    <t>APC</t>
  </si>
  <si>
    <t>Australian Rare EARTHS Ltd</t>
  </si>
  <si>
    <t>AR3</t>
  </si>
  <si>
    <t>Australian Silica Quartz Group Ltd</t>
  </si>
  <si>
    <t>ASQ</t>
  </si>
  <si>
    <t>Australian Strategic Materials Ltd</t>
  </si>
  <si>
    <t>ASM</t>
  </si>
  <si>
    <t>AUSTRALIAN STRATEGIC MATERIALS LTD OPTION 31/10/27 AUD1.74</t>
  </si>
  <si>
    <t>ASMO</t>
  </si>
  <si>
    <t>Australian United Investment Company Ltd</t>
  </si>
  <si>
    <t>AUI</t>
  </si>
  <si>
    <t>AUSTRALIAN UNITY FUNDS MA LTD TALARIA GLOBAL EQUITY AUD***</t>
  </si>
  <si>
    <t>TLRA</t>
  </si>
  <si>
    <t>AUSTRALIAN UNITY FUNDS MA LTD TALARIA GLOBAL EQUITY FUND CURRENCY HDGD***</t>
  </si>
  <si>
    <t>TLRH</t>
  </si>
  <si>
    <t>Australian Unity Ltd</t>
  </si>
  <si>
    <t>AYUPA</t>
  </si>
  <si>
    <t>Australian Unity Office Fund</t>
  </si>
  <si>
    <t>AOF</t>
  </si>
  <si>
    <t>Australian Vanadium Ltd</t>
  </si>
  <si>
    <t>AVL</t>
  </si>
  <si>
    <t>Australian Vintage Ltd</t>
  </si>
  <si>
    <t>AVG</t>
  </si>
  <si>
    <t>Autosports Group Ltd</t>
  </si>
  <si>
    <t>ASG</t>
  </si>
  <si>
    <t>AVA Risk Group Ltd</t>
  </si>
  <si>
    <t>AVA</t>
  </si>
  <si>
    <t>Avita Medical Inc</t>
  </si>
  <si>
    <t>AVH</t>
  </si>
  <si>
    <t>AXP Energy Ltd</t>
  </si>
  <si>
    <t>AXP</t>
  </si>
  <si>
    <t>Baby Bunting Group Ltd</t>
  </si>
  <si>
    <t>BBN</t>
  </si>
  <si>
    <t>Bailador Technology Investments Ltd</t>
  </si>
  <si>
    <t>BTI</t>
  </si>
  <si>
    <t>BANK OF QUEENSLAND FRN CNV PERP AUD5000</t>
  </si>
  <si>
    <t>BOQPG</t>
  </si>
  <si>
    <t>Bank of Queensland Ltd</t>
  </si>
  <si>
    <t>BOQ</t>
  </si>
  <si>
    <t>Bannerman Energy Ltd</t>
  </si>
  <si>
    <t>BMN</t>
  </si>
  <si>
    <t>Bapcor Ltd</t>
  </si>
  <si>
    <t>BAP</t>
  </si>
  <si>
    <t>Barrow Hanley Global Share Fund (Managed Fund)</t>
  </si>
  <si>
    <t>GLOB</t>
  </si>
  <si>
    <t>Basin Energy Ltd</t>
  </si>
  <si>
    <t>BSN</t>
  </si>
  <si>
    <t>Bathurst Resources Ltd</t>
  </si>
  <si>
    <t>BRL</t>
  </si>
  <si>
    <t>BCI Minerals Ltd</t>
  </si>
  <si>
    <t>BCI</t>
  </si>
  <si>
    <t>Beach Energy Ltd</t>
  </si>
  <si>
    <t>BPT</t>
  </si>
  <si>
    <t>Beacon Lighting Group Ltd</t>
  </si>
  <si>
    <t>BLX</t>
  </si>
  <si>
    <t>BEETALOO ENERGY AUSTRALIA LIMITED NPV</t>
  </si>
  <si>
    <t>BTL</t>
  </si>
  <si>
    <t>Beforepay Group Ltd</t>
  </si>
  <si>
    <t>B4P</t>
  </si>
  <si>
    <t>Bega Cheese Ltd</t>
  </si>
  <si>
    <t>BGA</t>
  </si>
  <si>
    <t>Bell Financial Group Ltd</t>
  </si>
  <si>
    <t>BFG</t>
  </si>
  <si>
    <t>Bellevue Gold Ltd</t>
  </si>
  <si>
    <t>BGL</t>
  </si>
  <si>
    <t>BENDIGO &amp; ADELAIDE BANK LTD FRN CNV PERP AUD100</t>
  </si>
  <si>
    <t>BENPI</t>
  </si>
  <si>
    <t>FI Preference Share</t>
  </si>
  <si>
    <t xml:space="preserve">BENDIGO &amp; ADELAIDE BANK LTD FRN CNV PERP AUD1000 </t>
  </si>
  <si>
    <t>BENPH</t>
  </si>
  <si>
    <t>Bendigo and Adelaide Bank Ltd</t>
  </si>
  <si>
    <t>BEN</t>
  </si>
  <si>
    <t>Bentley Capital Ltd</t>
  </si>
  <si>
    <t>BEL</t>
  </si>
  <si>
    <t>Betashares Active Australian Hybrids Fund (Managed Fund)</t>
  </si>
  <si>
    <t>HBRD</t>
  </si>
  <si>
    <t>Betashares Asia Technology Tigers ETF</t>
  </si>
  <si>
    <t>ASIA</t>
  </si>
  <si>
    <t>Betashares Aus Major Bank Subordinated Debt ETF</t>
  </si>
  <si>
    <t>BSUB</t>
  </si>
  <si>
    <t>Betashares Aus Top 20 Equity Yield MAX Fund (Managed Fund)</t>
  </si>
  <si>
    <t>YMAX</t>
  </si>
  <si>
    <t>Betashares Aust Small Companies Select Fund (Managed Fund)</t>
  </si>
  <si>
    <t>SMLL</t>
  </si>
  <si>
    <t>Betashares Aust. Cash Plus Fund (Managed Fund)</t>
  </si>
  <si>
    <t>MMKT</t>
  </si>
  <si>
    <t>Betashares Australia 200 ETF</t>
  </si>
  <si>
    <t>A200</t>
  </si>
  <si>
    <t>Betashares Australian Bank Senior Floating Rate Bond ETF</t>
  </si>
  <si>
    <t>QPON</t>
  </si>
  <si>
    <t>Betashares Australian Composite Bond ETF</t>
  </si>
  <si>
    <t>OZBD</t>
  </si>
  <si>
    <t>Betashares Australian Dividend Harvester Fund (Managed Fund)</t>
  </si>
  <si>
    <t>HVST</t>
  </si>
  <si>
    <t>Betashares Australian Equities Bear (Hedge Fund)</t>
  </si>
  <si>
    <t>BEAR</t>
  </si>
  <si>
    <t>Betashares Australian Ex-20 Portfolio Diversifier ETF</t>
  </si>
  <si>
    <t>EX20</t>
  </si>
  <si>
    <t>Betashares Australian Financials Sector ETF</t>
  </si>
  <si>
    <t>QFN</t>
  </si>
  <si>
    <t>Betashares Australian Government Bond ETF</t>
  </si>
  <si>
    <t>AGVT</t>
  </si>
  <si>
    <t>Betashares Australian High Interest Cash ETF</t>
  </si>
  <si>
    <t>AAA</t>
  </si>
  <si>
    <t>Betashares Australian Investment Grade Corporate Bond ETF</t>
  </si>
  <si>
    <t>CRED</t>
  </si>
  <si>
    <t>Betashares Australian Major Bank Hybrids INDEX ETF</t>
  </si>
  <si>
    <t>BHYB</t>
  </si>
  <si>
    <t>Betashares Australian Quality ETF</t>
  </si>
  <si>
    <t>AQLT</t>
  </si>
  <si>
    <t>Betashares Australian Resources Sector ETF</t>
  </si>
  <si>
    <t>QRE</t>
  </si>
  <si>
    <t>Betashares Australian Sustainability Leaders ETF</t>
  </si>
  <si>
    <t>FAIR</t>
  </si>
  <si>
    <t>BETASHARES CAPITAL LTD AUSTRALIAN EQUITIES STRONG BEAR COMP ETF</t>
  </si>
  <si>
    <t>BBOZ</t>
  </si>
  <si>
    <t>BETASHARES CAPITAL LTD AUSTRALIAN MOMENTUM ETF AUD</t>
  </si>
  <si>
    <t>MTUM</t>
  </si>
  <si>
    <t>BETASHARES CAPITAL LTD GLOBAL DEFENCE ETF AUD</t>
  </si>
  <si>
    <t>ARMR</t>
  </si>
  <si>
    <t>BETASHARES CAPITAL LTD WEALTHBUILDER ALL GR GEARED COMPLEX ETF</t>
  </si>
  <si>
    <t>GHHF</t>
  </si>
  <si>
    <t>Betashares Climate Change Innovation ETF</t>
  </si>
  <si>
    <t>ERTH</t>
  </si>
  <si>
    <t>Betashares Cloud Computing ETF</t>
  </si>
  <si>
    <t>CLDD</t>
  </si>
  <si>
    <t>Betashares Crude Oil INDEX ETF-Currency Hedged (Synthetic)</t>
  </si>
  <si>
    <t>OOO</t>
  </si>
  <si>
    <t>Betashares CRYPTO Innovators ETF</t>
  </si>
  <si>
    <t>CRYP</t>
  </si>
  <si>
    <t>Betashares Diversified All Growth ETF</t>
  </si>
  <si>
    <t>DHHF</t>
  </si>
  <si>
    <t>Betashares Energy Transition Metals ETF</t>
  </si>
  <si>
    <t>XMET</t>
  </si>
  <si>
    <t>Betashares Ethical Diversified Balanced ETF</t>
  </si>
  <si>
    <t>DBBF</t>
  </si>
  <si>
    <t>Betashares Ethical Diversified Growth ETF</t>
  </si>
  <si>
    <t>DGGF</t>
  </si>
  <si>
    <t>Betashares Ethical Diversified High Growth ETF</t>
  </si>
  <si>
    <t>DZZF</t>
  </si>
  <si>
    <t>Betashares Europe ETF-Currency Hedged</t>
  </si>
  <si>
    <t>HEUR</t>
  </si>
  <si>
    <t>Betashares Ftse 100 ETF</t>
  </si>
  <si>
    <t>F100</t>
  </si>
  <si>
    <t>Betashares Ftse Rafi Australia 200 ETF</t>
  </si>
  <si>
    <t>QOZ</t>
  </si>
  <si>
    <t>Betashares Geared Australian Equity Fund (Hedge Fund)</t>
  </si>
  <si>
    <t>GEAR</t>
  </si>
  <si>
    <t>Betashares Geared US Equity Fund Currency Hedged (Hedgefund)</t>
  </si>
  <si>
    <t>GGUS</t>
  </si>
  <si>
    <t>Betashares Global Agriculture ETF - Currency Hedged</t>
  </si>
  <si>
    <t>FOOD</t>
  </si>
  <si>
    <t>Betashares Global Banks ETF - Currency Hedged</t>
  </si>
  <si>
    <t>BNKS</t>
  </si>
  <si>
    <t>Betashares Global Cash Flow Kings ETF</t>
  </si>
  <si>
    <t>CFLO</t>
  </si>
  <si>
    <t>Betashares Global Cybersecurity ETF</t>
  </si>
  <si>
    <t>HACK</t>
  </si>
  <si>
    <t>Betashares Global Energy Companies ETF - Currency Hedged</t>
  </si>
  <si>
    <t>FUEL</t>
  </si>
  <si>
    <t>Betashares Global Gold Miners ETF - Currency Hedged</t>
  </si>
  <si>
    <t>MNRS</t>
  </si>
  <si>
    <t>Betashares Global Healthcare ETF - Currency Hedged</t>
  </si>
  <si>
    <t>DRUG</t>
  </si>
  <si>
    <t>Betashares Global Quality Leaders ETF</t>
  </si>
  <si>
    <t>QLTY</t>
  </si>
  <si>
    <t>Betashares Global Quality Leaders ETF Currency Hedged</t>
  </si>
  <si>
    <t>HQLT</t>
  </si>
  <si>
    <t>Betashares Global Robotics and Artificial Intelligence ETF</t>
  </si>
  <si>
    <t>RBTZ</t>
  </si>
  <si>
    <t>Betashares Global Shares ETF</t>
  </si>
  <si>
    <t>BGBL</t>
  </si>
  <si>
    <t>Betashares Global Shares ETF - Currency Hedged</t>
  </si>
  <si>
    <t>HGBL</t>
  </si>
  <si>
    <t>Betashares Global Sustainability Leaders ETF</t>
  </si>
  <si>
    <t>ETHI</t>
  </si>
  <si>
    <t>Betashares Global Sustainability Leaders ETF - CH</t>
  </si>
  <si>
    <t>HETH</t>
  </si>
  <si>
    <t>Betashares Global Uranium ETF</t>
  </si>
  <si>
    <t>URNM</t>
  </si>
  <si>
    <t>Betashares Gold Bullion ETF - Currency Hedged</t>
  </si>
  <si>
    <t>QAU</t>
  </si>
  <si>
    <t>Betashares India Quality ETF</t>
  </si>
  <si>
    <t>IIND</t>
  </si>
  <si>
    <t>Betashares Interest Rate Hedged Aus Corp Bond ETF</t>
  </si>
  <si>
    <t>HCRD</t>
  </si>
  <si>
    <t>Betashares Japan ETF-Currency Hedged</t>
  </si>
  <si>
    <t>HJPN</t>
  </si>
  <si>
    <t>Betashares Managed Risk AUS SH Fund (Managed Fund)</t>
  </si>
  <si>
    <t>AUST</t>
  </si>
  <si>
    <t>Betashares Managed Risk Global Share Fund (Managed Fund)</t>
  </si>
  <si>
    <t>WRLD</t>
  </si>
  <si>
    <t>Betashares Nasdaq 100 EQUAL Weight ETF</t>
  </si>
  <si>
    <t>QNDQ</t>
  </si>
  <si>
    <t>Betashares Nasdaq 100 ETF</t>
  </si>
  <si>
    <t>NDQ</t>
  </si>
  <si>
    <t>Betashares Nasdaq 100 ETF - Currency Hedged</t>
  </si>
  <si>
    <t>HNDQ</t>
  </si>
  <si>
    <t>Betashares Nasdaq 100 Yield MAX (Managed Fund)</t>
  </si>
  <si>
    <t>QMAX</t>
  </si>
  <si>
    <t>BETASHARES S&amp;P 500 EQUAL WEIGHT CURRENCY HDGD ETF</t>
  </si>
  <si>
    <t>HQUS</t>
  </si>
  <si>
    <t>Betashares S&amp;P 500 EQUAL Weight ETF</t>
  </si>
  <si>
    <t>QUS</t>
  </si>
  <si>
    <t>Betashares S&amp;P 500 Yield Maximiser Fund (Managed Fund)</t>
  </si>
  <si>
    <t>UMAX</t>
  </si>
  <si>
    <t>Betashares S&amp;P/ASX Australian Technology ETF</t>
  </si>
  <si>
    <t>ATEC</t>
  </si>
  <si>
    <t>Betashares Strong Australian Dollar Fund (Hedge Fund)</t>
  </si>
  <si>
    <t>AUDS</t>
  </si>
  <si>
    <t>Betashares Sustainability Leaders DVRSFD Bond ETF - Cur HDG</t>
  </si>
  <si>
    <t>GBND</t>
  </si>
  <si>
    <t>Betashares U.S. Dollar ETF</t>
  </si>
  <si>
    <t>USD</t>
  </si>
  <si>
    <t>Betashares US EQY Strong Bear - CH (Hedge Fund)</t>
  </si>
  <si>
    <t>BBUS</t>
  </si>
  <si>
    <t>Betashares US Treasury Bond 20+YR ETF - CCY Hedged</t>
  </si>
  <si>
    <t>GGOV</t>
  </si>
  <si>
    <t>Betashares Video Games and Esports ETF</t>
  </si>
  <si>
    <t>GAME</t>
  </si>
  <si>
    <t>Betashares Westn Asset Aus Bond Fund (Managed Fund)</t>
  </si>
  <si>
    <t>BNDS</t>
  </si>
  <si>
    <t>Betmakers Technology Group Ltd</t>
  </si>
  <si>
    <t>BET</t>
  </si>
  <si>
    <t>BETR ENTERTAINMENT LIMITED</t>
  </si>
  <si>
    <t>BBT</t>
  </si>
  <si>
    <t>BHAGWAN MARINE LIMITED NPV</t>
  </si>
  <si>
    <t>BWN</t>
  </si>
  <si>
    <t>BHP Group Ltd</t>
  </si>
  <si>
    <t>BHP</t>
  </si>
  <si>
    <t>Big River Industries Ltd</t>
  </si>
  <si>
    <t>BRI</t>
  </si>
  <si>
    <t>Bisalloy Steel Group Ltd</t>
  </si>
  <si>
    <t>BIS</t>
  </si>
  <si>
    <t>BKI Investment Company Ltd</t>
  </si>
  <si>
    <t>BKI</t>
  </si>
  <si>
    <t>Black Cat Syndicate Ltd</t>
  </si>
  <si>
    <t>BC8</t>
  </si>
  <si>
    <t>BLACKROCK INV MNGT AUSTRALIA LTD ISHARES MSCI WORLD EX AUSTRALIA VALUE ET***</t>
  </si>
  <si>
    <t>IVLU</t>
  </si>
  <si>
    <t>BLACKROCK INV MNGT AUSTRALIA LTD ISRS MSCI WLD EX AUST QUALITY ETF AUD***</t>
  </si>
  <si>
    <t>IHQL</t>
  </si>
  <si>
    <t>Blackstone Minerals Ltd</t>
  </si>
  <si>
    <t>BSX</t>
  </si>
  <si>
    <t>Blinklab Ltd</t>
  </si>
  <si>
    <t>BB1</t>
  </si>
  <si>
    <t>BLOCK INC CDI 1:1</t>
  </si>
  <si>
    <t>XYZ</t>
  </si>
  <si>
    <t>Bluescope Steel Ltd</t>
  </si>
  <si>
    <t>BSL</t>
  </si>
  <si>
    <t>Bluglass Ltd</t>
  </si>
  <si>
    <t>BLG</t>
  </si>
  <si>
    <t>Boom Logistics Ltd</t>
  </si>
  <si>
    <t>BOL</t>
  </si>
  <si>
    <t>BOQ LTD FRN CNV PERP AUD1000 'REGS'</t>
  </si>
  <si>
    <t>BOQPF</t>
  </si>
  <si>
    <t>Boss Energy Ltd</t>
  </si>
  <si>
    <t>BOE</t>
  </si>
  <si>
    <t>Botanix Pharmaceuticals Ltd</t>
  </si>
  <si>
    <t>BOT</t>
  </si>
  <si>
    <t>Bougainville Copper Ltd</t>
  </si>
  <si>
    <t>BOC</t>
  </si>
  <si>
    <t>Bowen Coking Coal Ltd</t>
  </si>
  <si>
    <t>BCB</t>
  </si>
  <si>
    <t>Brainchip Holdings Ltd</t>
  </si>
  <si>
    <t>BRN</t>
  </si>
  <si>
    <t>Brambles Ltd</t>
  </si>
  <si>
    <t>BXB</t>
  </si>
  <si>
    <t>Bravura Solutions Ltd</t>
  </si>
  <si>
    <t>BVS</t>
  </si>
  <si>
    <t>Brazilian Rare EARTHS Ltd</t>
  </si>
  <si>
    <t>BRE</t>
  </si>
  <si>
    <t>Breville Group Ltd</t>
  </si>
  <si>
    <t>BRG</t>
  </si>
  <si>
    <t>Brickworks Ltd</t>
  </si>
  <si>
    <t>BKW</t>
  </si>
  <si>
    <t>Brightstar Resources Ltd</t>
  </si>
  <si>
    <t>BTR</t>
  </si>
  <si>
    <t>BSP Financial Group Ltd</t>
  </si>
  <si>
    <t>BFL</t>
  </si>
  <si>
    <t>Bubs Australia Ltd</t>
  </si>
  <si>
    <t>BUB</t>
  </si>
  <si>
    <t>Burgundy Diamond Mines Ltd</t>
  </si>
  <si>
    <t>BDM</t>
  </si>
  <si>
    <t>Buru Energy Ltd</t>
  </si>
  <si>
    <t>BRU</t>
  </si>
  <si>
    <t>BWP GROUP</t>
  </si>
  <si>
    <t>BWP</t>
  </si>
  <si>
    <t>Cadence Capital Ltd</t>
  </si>
  <si>
    <t>CDM</t>
  </si>
  <si>
    <t>Cadoux Ltd</t>
  </si>
  <si>
    <t>CCM</t>
  </si>
  <si>
    <t>CALIX Ltd</t>
  </si>
  <si>
    <t>CXL</t>
  </si>
  <si>
    <t>Cann Group Ltd</t>
  </si>
  <si>
    <t>CAN</t>
  </si>
  <si>
    <t>Cannindah Resources Ltd</t>
  </si>
  <si>
    <t>CAE</t>
  </si>
  <si>
    <t>Canyon Resources Ltd</t>
  </si>
  <si>
    <t>CAY</t>
  </si>
  <si>
    <t>Capral Ltd</t>
  </si>
  <si>
    <t>CAA</t>
  </si>
  <si>
    <t>Capricorn Metals Ltd</t>
  </si>
  <si>
    <t>CMM</t>
  </si>
  <si>
    <t>Capstone Copper Corp</t>
  </si>
  <si>
    <t>CSC</t>
  </si>
  <si>
    <t>CAR Group Ltd</t>
  </si>
  <si>
    <t>CAR</t>
  </si>
  <si>
    <t>Caravel Minerals Ltd</t>
  </si>
  <si>
    <t>CVV</t>
  </si>
  <si>
    <t>Carbonxt Group Ltd</t>
  </si>
  <si>
    <t>CG1</t>
  </si>
  <si>
    <t>Cardiex Ltd</t>
  </si>
  <si>
    <t>CDX</t>
  </si>
  <si>
    <t>CARDIEX LTD OPTION 30/11/25 AUD0.2</t>
  </si>
  <si>
    <t>CDXOA</t>
  </si>
  <si>
    <t>Carindale Property Trust</t>
  </si>
  <si>
    <t>CDP</t>
  </si>
  <si>
    <t>Carlton Investments Ltd</t>
  </si>
  <si>
    <t>CIN</t>
  </si>
  <si>
    <t>Carnaby Resources Ltd</t>
  </si>
  <si>
    <t>CNB</t>
  </si>
  <si>
    <t>Carnarvon Energy Ltd</t>
  </si>
  <si>
    <t>CVN</t>
  </si>
  <si>
    <t>Carnegie Clean Energy Ltd</t>
  </si>
  <si>
    <t>CCE</t>
  </si>
  <si>
    <t>Castile Resources Ltd</t>
  </si>
  <si>
    <t>CST</t>
  </si>
  <si>
    <t>Catalyst Metals Ltd</t>
  </si>
  <si>
    <t>CYL</t>
  </si>
  <si>
    <t>Catapult Sports Ltd</t>
  </si>
  <si>
    <t>CAT</t>
  </si>
  <si>
    <t>CBA CAP NT 3 BBSW PERP NON CUM RED PFD</t>
  </si>
  <si>
    <t>CBAPL</t>
  </si>
  <si>
    <t>CBA FRN EXCH PERP AUD1000</t>
  </si>
  <si>
    <t>CBAPJ</t>
  </si>
  <si>
    <t>CBA FRN EXCH PERP AUD5000</t>
  </si>
  <si>
    <t>CBAPK</t>
  </si>
  <si>
    <t>CD Private Equity Fund III</t>
  </si>
  <si>
    <t>CD3</t>
  </si>
  <si>
    <t>Cedar Woods Properties Ltd</t>
  </si>
  <si>
    <t>CWP</t>
  </si>
  <si>
    <t>Centaurus Metals Ltd</t>
  </si>
  <si>
    <t>CTM</t>
  </si>
  <si>
    <t>Centrex Ltd</t>
  </si>
  <si>
    <t>CXM</t>
  </si>
  <si>
    <t>CENTURIA CAPITAL 2 FRN GTD SNR 04/2026 AUD100</t>
  </si>
  <si>
    <t>C2FHA</t>
  </si>
  <si>
    <t>Floating Rate Note</t>
  </si>
  <si>
    <t>Centuria Capital Group</t>
  </si>
  <si>
    <t>CNI</t>
  </si>
  <si>
    <t>Centuria Industrial REIT</t>
  </si>
  <si>
    <t>CIP</t>
  </si>
  <si>
    <t>Centuria Office REIT</t>
  </si>
  <si>
    <t>COF</t>
  </si>
  <si>
    <t>Cettire Ltd</t>
  </si>
  <si>
    <t>CTT</t>
  </si>
  <si>
    <t>Chalice Mining Ltd</t>
  </si>
  <si>
    <t>CHN</t>
  </si>
  <si>
    <t>Challenger Gold Ltd</t>
  </si>
  <si>
    <t>CEL</t>
  </si>
  <si>
    <t>CHALLENGER LIMITED 3.6% PREF NON-CUM RED</t>
  </si>
  <si>
    <t>CGFPD</t>
  </si>
  <si>
    <t>CHALLENGER LIMITED FRN CNV PERP AUD1000 'REGS'</t>
  </si>
  <si>
    <t>CGFPC</t>
  </si>
  <si>
    <t>Challenger Ltd</t>
  </si>
  <si>
    <t>CGF</t>
  </si>
  <si>
    <t>Champion Iron Ltd</t>
  </si>
  <si>
    <t>CIA</t>
  </si>
  <si>
    <t>Chariot Corporation Ltd</t>
  </si>
  <si>
    <t>CC9</t>
  </si>
  <si>
    <t>Charter Hall Group</t>
  </si>
  <si>
    <t>CHC</t>
  </si>
  <si>
    <t>Charter Hall Long Wale REIT</t>
  </si>
  <si>
    <t>CLW</t>
  </si>
  <si>
    <t>Charter Hall Retail REIT</t>
  </si>
  <si>
    <t>CQR</t>
  </si>
  <si>
    <t>Charter Hall Social Infrastructure REIT</t>
  </si>
  <si>
    <t>CQE</t>
  </si>
  <si>
    <t>Chimeric Therapeutics Ltd</t>
  </si>
  <si>
    <t>CHM</t>
  </si>
  <si>
    <t>Chorus Ltd</t>
  </si>
  <si>
    <t>CNU</t>
  </si>
  <si>
    <t>Chrysos Corporation Ltd</t>
  </si>
  <si>
    <t>C79</t>
  </si>
  <si>
    <t>Citigold Corporation Ltd</t>
  </si>
  <si>
    <t>CTO</t>
  </si>
  <si>
    <t>City Chic Collective Ltd</t>
  </si>
  <si>
    <t>CCX</t>
  </si>
  <si>
    <t>Civmec Ltd</t>
  </si>
  <si>
    <t>CVL</t>
  </si>
  <si>
    <t>Claremont Global Fund (Hedged) (Managed Fund)</t>
  </si>
  <si>
    <t>CGHE</t>
  </si>
  <si>
    <t>Claremont Global Fund (Managed Fund)</t>
  </si>
  <si>
    <t>CGUN</t>
  </si>
  <si>
    <t>Clarity Pharmaceuticals Ltd</t>
  </si>
  <si>
    <t>CU6</t>
  </si>
  <si>
    <t>Clean TEQ Water Ltd</t>
  </si>
  <si>
    <t>CNQ</t>
  </si>
  <si>
    <t>Cleanaway Waste Management Ltd</t>
  </si>
  <si>
    <t>CWY</t>
  </si>
  <si>
    <t>Clearview Wealth Ltd</t>
  </si>
  <si>
    <t>CVW</t>
  </si>
  <si>
    <t>Clearvue Technologies Ltd</t>
  </si>
  <si>
    <t>CPV</t>
  </si>
  <si>
    <t>Cleo Diagnostics Ltd</t>
  </si>
  <si>
    <t>COV</t>
  </si>
  <si>
    <t>CLEVER CULTURE SYSTEMS LIMITED NPV</t>
  </si>
  <si>
    <t>CC5</t>
  </si>
  <si>
    <t>Clinuvel Pharmaceuticals Ltd</t>
  </si>
  <si>
    <t>CUV</t>
  </si>
  <si>
    <t>Close the Loop Ltd</t>
  </si>
  <si>
    <t>CLG</t>
  </si>
  <si>
    <t>Clover Corporation Ltd</t>
  </si>
  <si>
    <t>CLV</t>
  </si>
  <si>
    <t>Coast Entertainment Holdings Ltd</t>
  </si>
  <si>
    <t>CEH</t>
  </si>
  <si>
    <t>Cobalt Blue Holdings Ltd</t>
  </si>
  <si>
    <t>COB</t>
  </si>
  <si>
    <t>Cobram Estate Olives Ltd</t>
  </si>
  <si>
    <t>CBO</t>
  </si>
  <si>
    <t>Cochlear Ltd</t>
  </si>
  <si>
    <t>COH</t>
  </si>
  <si>
    <t>Codan Ltd</t>
  </si>
  <si>
    <t>CDA</t>
  </si>
  <si>
    <t>COG Financial Services Ltd</t>
  </si>
  <si>
    <t>COG</t>
  </si>
  <si>
    <t>Cogstate Ltd</t>
  </si>
  <si>
    <t>CGS</t>
  </si>
  <si>
    <t>Cokal Ltd</t>
  </si>
  <si>
    <t>CKA</t>
  </si>
  <si>
    <t>Coles Group Ltd</t>
  </si>
  <si>
    <t>COL</t>
  </si>
  <si>
    <t>Collins Foods Ltd</t>
  </si>
  <si>
    <t>CKF</t>
  </si>
  <si>
    <t>Comet Ridge Ltd</t>
  </si>
  <si>
    <t>COI</t>
  </si>
  <si>
    <t>Commonwealth Bank of Australia</t>
  </si>
  <si>
    <t>CBA</t>
  </si>
  <si>
    <t>COMMONWEALTH BANK OF AUSTRALIA FRN PERP AUD1000</t>
  </si>
  <si>
    <t>CBAPI</t>
  </si>
  <si>
    <t>COMMONWEALTH BANK OF AUSTRALIA FRN SUB PERP AUD500</t>
  </si>
  <si>
    <t>CBAPM</t>
  </si>
  <si>
    <t>Comms Group Ltd</t>
  </si>
  <si>
    <t>CCG</t>
  </si>
  <si>
    <t>Compumedics Ltd</t>
  </si>
  <si>
    <t>CMP</t>
  </si>
  <si>
    <t>Computershare Ltd</t>
  </si>
  <si>
    <t>CPU</t>
  </si>
  <si>
    <t>Conrad Asia Energy Ltd</t>
  </si>
  <si>
    <t>CRD</t>
  </si>
  <si>
    <t>Contact Energy Ltd</t>
  </si>
  <si>
    <t>CEN</t>
  </si>
  <si>
    <t>COOLABAH ACTIVE COMPOSITE BOND FUND (HEDGE FUND)***</t>
  </si>
  <si>
    <t>FIXD</t>
  </si>
  <si>
    <t>COOLABAH GBL FLOATRATE HGH YLD CMPX***</t>
  </si>
  <si>
    <t>YLDX</t>
  </si>
  <si>
    <t>Cooper Metals Ltd</t>
  </si>
  <si>
    <t>CPM</t>
  </si>
  <si>
    <t>Core Lithium Ltd</t>
  </si>
  <si>
    <t>CXO</t>
  </si>
  <si>
    <t>Coronado Global Resources Inc</t>
  </si>
  <si>
    <t>CRN</t>
  </si>
  <si>
    <t>Corporate Travel Management Ltd</t>
  </si>
  <si>
    <t>CTD</t>
  </si>
  <si>
    <t>Cosol Ltd</t>
  </si>
  <si>
    <t>COS</t>
  </si>
  <si>
    <t>Count Ltd</t>
  </si>
  <si>
    <t>CUP</t>
  </si>
  <si>
    <t>Credit Corp Group Ltd</t>
  </si>
  <si>
    <t>CCP</t>
  </si>
  <si>
    <t>CRITICA LTD NPV</t>
  </si>
  <si>
    <t>CRI</t>
  </si>
  <si>
    <t>Cromwell Property Group</t>
  </si>
  <si>
    <t>CMW</t>
  </si>
  <si>
    <t>CSL Ltd</t>
  </si>
  <si>
    <t>CSL</t>
  </si>
  <si>
    <t>Cti Logistics Ltd</t>
  </si>
  <si>
    <t>CLX</t>
  </si>
  <si>
    <t>Curvebeam Ai Ltd</t>
  </si>
  <si>
    <t>CVB</t>
  </si>
  <si>
    <t>CUSCAL LIMITED NPV</t>
  </si>
  <si>
    <t>CCL</t>
  </si>
  <si>
    <t>CVC Ltd</t>
  </si>
  <si>
    <t>CVC</t>
  </si>
  <si>
    <t>CYCLIQ Group Ltd</t>
  </si>
  <si>
    <t>CYQ</t>
  </si>
  <si>
    <t>Cyclone Metals Ltd</t>
  </si>
  <si>
    <t>CLE</t>
  </si>
  <si>
    <t>Cyclopharm Ltd</t>
  </si>
  <si>
    <t>CYC</t>
  </si>
  <si>
    <t>Cynata Therapeutics Ltd</t>
  </si>
  <si>
    <t>CYP</t>
  </si>
  <si>
    <t>Cyprium Metals Ltd</t>
  </si>
  <si>
    <t>CYM</t>
  </si>
  <si>
    <t>DAINTREE CORE INCOME FUND ACTIVE ET CORE INCOME ACTIVE ETF AUD</t>
  </si>
  <si>
    <t>DCOR</t>
  </si>
  <si>
    <t>Daintree HYBRID Opportunities Fund (Managed Fund)</t>
  </si>
  <si>
    <t>DHOF</t>
  </si>
  <si>
    <t>Dalrymple Bay Infrastructure Ltd</t>
  </si>
  <si>
    <t>DBI</t>
  </si>
  <si>
    <t>Data#3 Ltd</t>
  </si>
  <si>
    <t>DTL</t>
  </si>
  <si>
    <t>Datadot Technology Ltd</t>
  </si>
  <si>
    <t>DDT</t>
  </si>
  <si>
    <t>Dateline Resources Ltd</t>
  </si>
  <si>
    <t>DTR</t>
  </si>
  <si>
    <t>Deep Yellow Ltd</t>
  </si>
  <si>
    <t>DYL</t>
  </si>
  <si>
    <t>Delorean Corporation Ltd</t>
  </si>
  <si>
    <t>DEL</t>
  </si>
  <si>
    <t>Delta Lithium Ltd</t>
  </si>
  <si>
    <t>DLI</t>
  </si>
  <si>
    <t>Desert Metals Ltd</t>
  </si>
  <si>
    <t>DM1</t>
  </si>
  <si>
    <t>Deterra Royalties Ltd</t>
  </si>
  <si>
    <t>DRR</t>
  </si>
  <si>
    <t>Develop Global Ltd</t>
  </si>
  <si>
    <t>DVP</t>
  </si>
  <si>
    <t>DEVEX Resources Ltd</t>
  </si>
  <si>
    <t>DEV</t>
  </si>
  <si>
    <t>Dexus</t>
  </si>
  <si>
    <t>DXS</t>
  </si>
  <si>
    <t>Dexus Convenience Retail REIT</t>
  </si>
  <si>
    <t>DXC</t>
  </si>
  <si>
    <t>Dexus Industria REIT</t>
  </si>
  <si>
    <t>DXI</t>
  </si>
  <si>
    <t>DFA AUSTRALIA LTD VALUE TRUST AUD</t>
  </si>
  <si>
    <t>DAVA</t>
  </si>
  <si>
    <t>DGL Group Ltd</t>
  </si>
  <si>
    <t>DGL</t>
  </si>
  <si>
    <t>Diablo Resources Ltd</t>
  </si>
  <si>
    <t>DBO</t>
  </si>
  <si>
    <t>Dicker Data Ltd</t>
  </si>
  <si>
    <t>DDR</t>
  </si>
  <si>
    <t>DigiCo Infrastructure REIT</t>
  </si>
  <si>
    <t>DGT</t>
  </si>
  <si>
    <t>Digitalx Ltd</t>
  </si>
  <si>
    <t>DCC</t>
  </si>
  <si>
    <t>DIGITALX LTD DIGITALX BITCOIN ETF</t>
  </si>
  <si>
    <t>BTXX</t>
  </si>
  <si>
    <t>Dimensional Australian Core Equity (Managed Fund)</t>
  </si>
  <si>
    <t>DACE</t>
  </si>
  <si>
    <t>Dimerix Ltd</t>
  </si>
  <si>
    <t>DXB</t>
  </si>
  <si>
    <t>Diversified United Investment Ltd</t>
  </si>
  <si>
    <t>DUI</t>
  </si>
  <si>
    <t>Djerriwarrh Investments Ltd</t>
  </si>
  <si>
    <t>DJW</t>
  </si>
  <si>
    <t>DOMINION INCOME TRUST 1 NPV</t>
  </si>
  <si>
    <t>DN1</t>
  </si>
  <si>
    <t>Domino's PIZZA Enterprises Ltd</t>
  </si>
  <si>
    <t>DMP</t>
  </si>
  <si>
    <t>Downer Edi Ltd</t>
  </si>
  <si>
    <t>DOW</t>
  </si>
  <si>
    <t>Dreadnought Resources Ltd</t>
  </si>
  <si>
    <t>DRE</t>
  </si>
  <si>
    <t>Droneshield Ltd</t>
  </si>
  <si>
    <t>DRO</t>
  </si>
  <si>
    <t>Dubber Corporation Ltd</t>
  </si>
  <si>
    <t>DUB</t>
  </si>
  <si>
    <t>DUG Technology Ltd</t>
  </si>
  <si>
    <t>DUG</t>
  </si>
  <si>
    <t>Duratec Ltd</t>
  </si>
  <si>
    <t>DUR</t>
  </si>
  <si>
    <t>Duxton Water Ltd</t>
  </si>
  <si>
    <t>D2O</t>
  </si>
  <si>
    <t>DUXTON WATER LTD OPTION 10/05/26 AUD1.92</t>
  </si>
  <si>
    <t>D2OOA</t>
  </si>
  <si>
    <t>DYNO NOBEL LIMITED</t>
  </si>
  <si>
    <t>DNL</t>
  </si>
  <si>
    <t>Eagers Automotive Ltd</t>
  </si>
  <si>
    <t>APE</t>
  </si>
  <si>
    <t>Ebos Group Ltd</t>
  </si>
  <si>
    <t>EBO</t>
  </si>
  <si>
    <t>EBR Systems Inc</t>
  </si>
  <si>
    <t>EBR</t>
  </si>
  <si>
    <t>Ecograf Ltd</t>
  </si>
  <si>
    <t>EGR</t>
  </si>
  <si>
    <t>ECS Botanics Holdings Ltd</t>
  </si>
  <si>
    <t>ECS</t>
  </si>
  <si>
    <t>Elanor Commercial Property Fund</t>
  </si>
  <si>
    <t>ECF</t>
  </si>
  <si>
    <t>Elanor Investors Group</t>
  </si>
  <si>
    <t>ENN</t>
  </si>
  <si>
    <t>Elders Ltd</t>
  </si>
  <si>
    <t>ELD</t>
  </si>
  <si>
    <t>Electro Optic Systems Holdings Ltd</t>
  </si>
  <si>
    <t>EOS</t>
  </si>
  <si>
    <t>Elementos Ltd</t>
  </si>
  <si>
    <t>ELT</t>
  </si>
  <si>
    <t>Elevate Uranium Ltd</t>
  </si>
  <si>
    <t>EL8</t>
  </si>
  <si>
    <t>Elixinol Wellness Ltd</t>
  </si>
  <si>
    <t>EXL</t>
  </si>
  <si>
    <t>Elixir Energy Ltd</t>
  </si>
  <si>
    <t>EXR</t>
  </si>
  <si>
    <t>Ellerston Asia Growth Fund (Hedge Fund)</t>
  </si>
  <si>
    <t>EAFZ</t>
  </si>
  <si>
    <t>ELSTREE ENHANCED INCOME FUND ELSTREE HYBRID AUD***</t>
  </si>
  <si>
    <t>EHF1</t>
  </si>
  <si>
    <t>Emeco Holdings Ltd</t>
  </si>
  <si>
    <t>EHL</t>
  </si>
  <si>
    <t>Emerald Resources NL</t>
  </si>
  <si>
    <t>EMR</t>
  </si>
  <si>
    <t>EML Payments Ltd</t>
  </si>
  <si>
    <t>EML</t>
  </si>
  <si>
    <t>Emvision Medical Devices Ltd</t>
  </si>
  <si>
    <t>EMV</t>
  </si>
  <si>
    <t>Encounter Resources Ltd</t>
  </si>
  <si>
    <t>ENR</t>
  </si>
  <si>
    <t>Endeavour Group Ltd</t>
  </si>
  <si>
    <t>EDV</t>
  </si>
  <si>
    <t>Eneco Refresh Ltd</t>
  </si>
  <si>
    <t>ERG</t>
  </si>
  <si>
    <t>Energy One Ltd</t>
  </si>
  <si>
    <t>EOL</t>
  </si>
  <si>
    <t>Energy Resources of Australia Ltd</t>
  </si>
  <si>
    <t>ERA</t>
  </si>
  <si>
    <t>Energy Technologies Ltd</t>
  </si>
  <si>
    <t>EGY</t>
  </si>
  <si>
    <t>Energy Transition Minerals Ltd</t>
  </si>
  <si>
    <t>ETM</t>
  </si>
  <si>
    <t>Energy World Corporation Ltd</t>
  </si>
  <si>
    <t>EWC</t>
  </si>
  <si>
    <t>Enero Group Ltd</t>
  </si>
  <si>
    <t>EGG</t>
  </si>
  <si>
    <t>Enova Mining Ltd</t>
  </si>
  <si>
    <t>ENV</t>
  </si>
  <si>
    <t>Enrg Elements Ltd</t>
  </si>
  <si>
    <t>EEL</t>
  </si>
  <si>
    <t>Environmental Group Ltd (the)</t>
  </si>
  <si>
    <t>EGL</t>
  </si>
  <si>
    <t>EQT Holdings Ltd</t>
  </si>
  <si>
    <t>EQT</t>
  </si>
  <si>
    <t>EQT HOLDINGS LTD GCQ GLOBAL EQUITIES COMPLEX ETF</t>
  </si>
  <si>
    <t>GCQF</t>
  </si>
  <si>
    <t>EQUITY TRUSTEES LIMITED INDIA AVENUE EQUITY ACTIVE ETF AUD***</t>
  </si>
  <si>
    <t>IAEF</t>
  </si>
  <si>
    <t>ETFS FINTECH &amp; BLOCKCHAIN ETF CHI-X ETF AUD***</t>
  </si>
  <si>
    <t>FTEC</t>
  </si>
  <si>
    <t>ETFS US Quality ETF***</t>
  </si>
  <si>
    <t>BEST</t>
  </si>
  <si>
    <t>Eureka Group Holdings Ltd</t>
  </si>
  <si>
    <t>EGH</t>
  </si>
  <si>
    <t>Euro Manganese Inc</t>
  </si>
  <si>
    <t>EMN</t>
  </si>
  <si>
    <t>EUROZ Hartleys Group Ltd</t>
  </si>
  <si>
    <t>EZL</t>
  </si>
  <si>
    <t>Evolution Mining Ltd</t>
  </si>
  <si>
    <t>EVN</t>
  </si>
  <si>
    <t>EVT Ltd</t>
  </si>
  <si>
    <t>EVT</t>
  </si>
  <si>
    <t>EVZ Ltd</t>
  </si>
  <si>
    <t>EVZ</t>
  </si>
  <si>
    <t>Falcon Metals Ltd</t>
  </si>
  <si>
    <t>FAL</t>
  </si>
  <si>
    <t>FAR Limited</t>
  </si>
  <si>
    <t>FAR</t>
  </si>
  <si>
    <t>FBR Ltd</t>
  </si>
  <si>
    <t>FBR</t>
  </si>
  <si>
    <t>FENIX Resources Ltd</t>
  </si>
  <si>
    <t>FEX</t>
  </si>
  <si>
    <t>Fidelity Global Emerging Markets Fund (Managed Fund)</t>
  </si>
  <si>
    <t>FEMX</t>
  </si>
  <si>
    <t>Fiducian Group Ltd</t>
  </si>
  <si>
    <t>FID</t>
  </si>
  <si>
    <t>FIL RESPONSIBLE ENTITY(AUS)LTD FIDELITY ASIA ACTIVE ETF</t>
  </si>
  <si>
    <t>FASI</t>
  </si>
  <si>
    <t>Finbar Group Ltd</t>
  </si>
  <si>
    <t>FRI</t>
  </si>
  <si>
    <t>Findi Ltd</t>
  </si>
  <si>
    <t>FND</t>
  </si>
  <si>
    <t>Fineos Corporation Holdings Plc</t>
  </si>
  <si>
    <t>FCL</t>
  </si>
  <si>
    <t>Firefly Metals Ltd</t>
  </si>
  <si>
    <t>FFM</t>
  </si>
  <si>
    <t>First Graphene Ltd</t>
  </si>
  <si>
    <t>FGR</t>
  </si>
  <si>
    <t>Fisher &amp; Paykel Healthcare Corporation Ltd</t>
  </si>
  <si>
    <t>FPH</t>
  </si>
  <si>
    <t>Fleetpartners Group Ltd</t>
  </si>
  <si>
    <t>FPR</t>
  </si>
  <si>
    <t>Fleetwood Ltd</t>
  </si>
  <si>
    <t>FWD</t>
  </si>
  <si>
    <t>Fletcher Building Ltd</t>
  </si>
  <si>
    <t>FBU</t>
  </si>
  <si>
    <t>Flight Centre Travel Group Ltd</t>
  </si>
  <si>
    <t>FLT</t>
  </si>
  <si>
    <t>Fluence Corporation Ltd</t>
  </si>
  <si>
    <t>FLC</t>
  </si>
  <si>
    <t>Fortescue Ltd</t>
  </si>
  <si>
    <t>FMG</t>
  </si>
  <si>
    <t>FRANKLIN TEMPLETON AUSTRALIA LTD AUST ABSOLUTE RETURN BOND FUND ACTIV ETF</t>
  </si>
  <si>
    <t>FRAR</t>
  </si>
  <si>
    <t>FRANKLIN TEMPLETON AUSTRALIA LTD GLOBAL GROWTH FUND ACTIVE ETF</t>
  </si>
  <si>
    <t>FRGG</t>
  </si>
  <si>
    <t>FRANKLIN TEMPLETON INV (AUS) LTD CB GLBL INFRA INCOME (HEDGED) ACTIVE ETF</t>
  </si>
  <si>
    <t>CIIH</t>
  </si>
  <si>
    <t>Frontier Digital Ventures Ltd</t>
  </si>
  <si>
    <t>FDV</t>
  </si>
  <si>
    <t>Future Battery Minerals Ltd</t>
  </si>
  <si>
    <t>FBM</t>
  </si>
  <si>
    <t>Future Generation Australia Ltd</t>
  </si>
  <si>
    <t>FGX</t>
  </si>
  <si>
    <t>Listed Investment Company</t>
  </si>
  <si>
    <t>Future Generation Global Ltd</t>
  </si>
  <si>
    <t>FGG</t>
  </si>
  <si>
    <t>G11 Resources Ltd</t>
  </si>
  <si>
    <t>G11</t>
  </si>
  <si>
    <t>G8 Education Ltd</t>
  </si>
  <si>
    <t>GEM</t>
  </si>
  <si>
    <t>Galan Lithium Ltd</t>
  </si>
  <si>
    <t>GLN</t>
  </si>
  <si>
    <t>Galilee Energy Ltd</t>
  </si>
  <si>
    <t>GLL</t>
  </si>
  <si>
    <t>Galileo Mining Ltd</t>
  </si>
  <si>
    <t>GAL</t>
  </si>
  <si>
    <t>Garda Property Group</t>
  </si>
  <si>
    <t>GDF</t>
  </si>
  <si>
    <t>GDI Property Group</t>
  </si>
  <si>
    <t>GDI</t>
  </si>
  <si>
    <t>Gemlife Communities Group</t>
  </si>
  <si>
    <t>GLF</t>
  </si>
  <si>
    <t>Generation Development Group Ltd</t>
  </si>
  <si>
    <t>GDG</t>
  </si>
  <si>
    <t>Genesis Energy Ltd</t>
  </si>
  <si>
    <t>GNE</t>
  </si>
  <si>
    <t>Genesis Minerals Ltd</t>
  </si>
  <si>
    <t>GMD</t>
  </si>
  <si>
    <t>Gentrack Group Ltd</t>
  </si>
  <si>
    <t>GTK</t>
  </si>
  <si>
    <t>Genusplus Group Ltd</t>
  </si>
  <si>
    <t>GNP</t>
  </si>
  <si>
    <t>Geopacific Resources Ltd</t>
  </si>
  <si>
    <t>GPR</t>
  </si>
  <si>
    <t>Glennon Small Companies Ltd</t>
  </si>
  <si>
    <t>GC1</t>
  </si>
  <si>
    <t>Global Lithium Resources Ltd</t>
  </si>
  <si>
    <t>GL1</t>
  </si>
  <si>
    <t>Global Uranium and Enrichment Ltd</t>
  </si>
  <si>
    <t>GUE</t>
  </si>
  <si>
    <t>GLOBAL X AI INFRASTRUCTURE ETF</t>
  </si>
  <si>
    <t>AINF</t>
  </si>
  <si>
    <t>Global X Artificial Intelligence ETF</t>
  </si>
  <si>
    <t>GXAI</t>
  </si>
  <si>
    <t>Global X Battery Tech &amp; Lithium ETF</t>
  </si>
  <si>
    <t>ACDC</t>
  </si>
  <si>
    <t>Global X Bloomberg Commodity ETF (Synthetic)</t>
  </si>
  <si>
    <t>BCOM</t>
  </si>
  <si>
    <t>Global X Copper Miners ETF</t>
  </si>
  <si>
    <t>WIRE</t>
  </si>
  <si>
    <t>Global X Cybersecurity ETF</t>
  </si>
  <si>
    <t>BUGG</t>
  </si>
  <si>
    <t>Global X Euro STOXX 50 ETF</t>
  </si>
  <si>
    <t>ESTX</t>
  </si>
  <si>
    <t>Global X Fang+ ETF</t>
  </si>
  <si>
    <t>FANG</t>
  </si>
  <si>
    <t>Global X Gold Bullion ETF</t>
  </si>
  <si>
    <t>GXLD</t>
  </si>
  <si>
    <t>Global X Hydrogen ETF</t>
  </si>
  <si>
    <t>HGEN</t>
  </si>
  <si>
    <t>Global X India Nifty 50 ETF</t>
  </si>
  <si>
    <t>NDIA</t>
  </si>
  <si>
    <t>GLOBAL X MANAGEMENT (AUS) LTD GLOBAL X AUSTRALIAN BANK CREDIT ETF</t>
  </si>
  <si>
    <t>BANK</t>
  </si>
  <si>
    <t>GLOBAL X MANAGEMENT (AUS) LTD GLOBAL X CHINA TECH ETF</t>
  </si>
  <si>
    <t>DRGN</t>
  </si>
  <si>
    <t>GLOBAL X MANAGEMENT (AUS) LTD GLOBAL X DEFENCE TECH ETF</t>
  </si>
  <si>
    <t>DTEC</t>
  </si>
  <si>
    <t>GLOBAL X MANAGEMENT (AUS) LTD GLOBAL X FANG+ (CURRENCY HEDGED) ETF</t>
  </si>
  <si>
    <t>FHNG</t>
  </si>
  <si>
    <t>GLOBAL X METAL SECURITIES AUS LTD GLOBAL X PHYSICAL PLATINUM</t>
  </si>
  <si>
    <t>ETPMPT</t>
  </si>
  <si>
    <t>GLOBAL X METAL SECURITIES AUS LTD GLOBAL X PHYSICAL PRECIOUS METALS BASKET</t>
  </si>
  <si>
    <t>ETPMPM</t>
  </si>
  <si>
    <t>Global X Metal Securities Australia Ltd</t>
  </si>
  <si>
    <t>ETPMAG</t>
  </si>
  <si>
    <t>Global X Morningstar Global Technology ETF</t>
  </si>
  <si>
    <t>TECH</t>
  </si>
  <si>
    <t>Global X Physical Gold</t>
  </si>
  <si>
    <t>GOLD</t>
  </si>
  <si>
    <t>Global X Robo Global Robotics &amp; Automation ETF</t>
  </si>
  <si>
    <t>ROBO</t>
  </si>
  <si>
    <t>Global X S&amp;P 500 High Yield Low Volatility ETF</t>
  </si>
  <si>
    <t>ZYUS</t>
  </si>
  <si>
    <t>Global X S&amp;P Biotech ETF</t>
  </si>
  <si>
    <t>CURE</t>
  </si>
  <si>
    <t>Global X S&amp;P/ASX 200 Covered Call ETF</t>
  </si>
  <si>
    <t>AYLD</t>
  </si>
  <si>
    <t>Global X S&amp;P/ASX 200 High Dividend ETF</t>
  </si>
  <si>
    <t>ZYAU</t>
  </si>
  <si>
    <t>Global X Semiconductor ETF</t>
  </si>
  <si>
    <t>SEMI</t>
  </si>
  <si>
    <t>Global X Ultra Long Nasdaq 100 Hedge Fund</t>
  </si>
  <si>
    <t>LNAS</t>
  </si>
  <si>
    <t>Global X Uranium ETF</t>
  </si>
  <si>
    <t>ATOM</t>
  </si>
  <si>
    <t>GLOBAL X US INFRASTRUCTURE DEVELOPMENT ETF</t>
  </si>
  <si>
    <t>PAVE</t>
  </si>
  <si>
    <t>Global X US Treasury Bond ETF (Currency Hedged)</t>
  </si>
  <si>
    <t>USTB</t>
  </si>
  <si>
    <t>Global X Usd High Yield Bond ETF(Currency Hedged)</t>
  </si>
  <si>
    <t>USHY</t>
  </si>
  <si>
    <t>Gold Corporation</t>
  </si>
  <si>
    <t>PMGOLD</t>
  </si>
  <si>
    <t>Gold Hydrogen Ltd</t>
  </si>
  <si>
    <t>GHY</t>
  </si>
  <si>
    <t>Gold Road Resources Ltd</t>
  </si>
  <si>
    <t>GOR</t>
  </si>
  <si>
    <t>Goodman Group</t>
  </si>
  <si>
    <t>GMG</t>
  </si>
  <si>
    <t>GPT Group</t>
  </si>
  <si>
    <t>GPT</t>
  </si>
  <si>
    <t>GQG Partners Inc</t>
  </si>
  <si>
    <t>GQG</t>
  </si>
  <si>
    <t>GR Engineering Services Ltd</t>
  </si>
  <si>
    <t>GNG</t>
  </si>
  <si>
    <t>Graincorp Ltd</t>
  </si>
  <si>
    <t>GNC</t>
  </si>
  <si>
    <t>Grange Resources Ltd</t>
  </si>
  <si>
    <t>GRR</t>
  </si>
  <si>
    <t>Gratifii Ltd</t>
  </si>
  <si>
    <t>GTI</t>
  </si>
  <si>
    <t>Greenvale Energy Ltd</t>
  </si>
  <si>
    <t>GRV</t>
  </si>
  <si>
    <t>Greenwing Resources Ltd</t>
  </si>
  <si>
    <t>GW1</t>
  </si>
  <si>
    <t>Greenx Metals Ltd</t>
  </si>
  <si>
    <t>GRX</t>
  </si>
  <si>
    <t>Growthpoint Properties Australia</t>
  </si>
  <si>
    <t>GOZ</t>
  </si>
  <si>
    <t>Gryphon Capital Income Trust</t>
  </si>
  <si>
    <t>GCI</t>
  </si>
  <si>
    <t>GUZMAN Y GOMEZ LTD NPV</t>
  </si>
  <si>
    <t>GYG</t>
  </si>
  <si>
    <t>GWA Group Ltd</t>
  </si>
  <si>
    <t>GWA</t>
  </si>
  <si>
    <t>Hansen Technologies Ltd</t>
  </si>
  <si>
    <t>HSN</t>
  </si>
  <si>
    <t>Harvey Norman Holdings Ltd</t>
  </si>
  <si>
    <t>HVN</t>
  </si>
  <si>
    <t>Hastings Technology Metals Ltd</t>
  </si>
  <si>
    <t>HAS</t>
  </si>
  <si>
    <t>HAZER Group Ltd</t>
  </si>
  <si>
    <t>HZR</t>
  </si>
  <si>
    <t>Healius Ltd</t>
  </si>
  <si>
    <t>HLS</t>
  </si>
  <si>
    <t>Healthco Healthcare and Wellness REIT</t>
  </si>
  <si>
    <t>HCW</t>
  </si>
  <si>
    <t>Hearts and Minds Investments Ltd</t>
  </si>
  <si>
    <t>HM1</t>
  </si>
  <si>
    <t>HEJAZ Equities Fund (Managed Fund)</t>
  </si>
  <si>
    <t>ISLM</t>
  </si>
  <si>
    <t>HEJAZ Property Fund (Managed Fund)</t>
  </si>
  <si>
    <t>HJZP</t>
  </si>
  <si>
    <t>HEJAZ Sukuk Active ETF (Managed Fund)</t>
  </si>
  <si>
    <t>SKUK</t>
  </si>
  <si>
    <t>Helia Group Ltd</t>
  </si>
  <si>
    <t>HLI</t>
  </si>
  <si>
    <t>Helios Energy Ltd</t>
  </si>
  <si>
    <t>HE8</t>
  </si>
  <si>
    <t>Helloworld Travel Ltd</t>
  </si>
  <si>
    <t>HLO</t>
  </si>
  <si>
    <t>Highcom Ltd</t>
  </si>
  <si>
    <t>HCL</t>
  </si>
  <si>
    <t>Highfield Resources Ltd</t>
  </si>
  <si>
    <t>HFR</t>
  </si>
  <si>
    <t>Hillgrove Resources Ltd</t>
  </si>
  <si>
    <t>HGO</t>
  </si>
  <si>
    <t>Hipages Group Holdings Ltd</t>
  </si>
  <si>
    <t>HPG</t>
  </si>
  <si>
    <t>HITIQ Ltd</t>
  </si>
  <si>
    <t>HIQ</t>
  </si>
  <si>
    <t>HMC Capital Ltd</t>
  </si>
  <si>
    <t>HMC</t>
  </si>
  <si>
    <t>Homeco Daily Needs REIT</t>
  </si>
  <si>
    <t>HDN</t>
  </si>
  <si>
    <t>Horizon Minerals Ltd</t>
  </si>
  <si>
    <t>HRZ</t>
  </si>
  <si>
    <t>Horizon Oil Ltd</t>
  </si>
  <si>
    <t>HZN</t>
  </si>
  <si>
    <t>Hot Chili Ltd</t>
  </si>
  <si>
    <t>HCH</t>
  </si>
  <si>
    <t>HUB24 Ltd</t>
  </si>
  <si>
    <t>HUB</t>
  </si>
  <si>
    <t>Hubify Ltd</t>
  </si>
  <si>
    <t>HFY</t>
  </si>
  <si>
    <t>Humm Group Ltd</t>
  </si>
  <si>
    <t>HUM</t>
  </si>
  <si>
    <t>HYDRIX Ltd</t>
  </si>
  <si>
    <t>HYD</t>
  </si>
  <si>
    <t>Hyperion GBL Growth Companies Fund (Managed Fund)</t>
  </si>
  <si>
    <t>HYGG</t>
  </si>
  <si>
    <t>ICENI GOLD LIMITED OPTION 29/12/2025 AUD0.105</t>
  </si>
  <si>
    <t>ICLO</t>
  </si>
  <si>
    <t>Iceni Gold Ltd</t>
  </si>
  <si>
    <t>ICL</t>
  </si>
  <si>
    <t>Idp Education Ltd</t>
  </si>
  <si>
    <t>IEL</t>
  </si>
  <si>
    <t>IDT Australia Ltd</t>
  </si>
  <si>
    <t>IDT</t>
  </si>
  <si>
    <t>IGO Ltd</t>
  </si>
  <si>
    <t>IGO</t>
  </si>
  <si>
    <t>Iluka Resources Ltd</t>
  </si>
  <si>
    <t>ILU</t>
  </si>
  <si>
    <t>IMDEX Ltd</t>
  </si>
  <si>
    <t>IMD</t>
  </si>
  <si>
    <t>Immuron Ltd</t>
  </si>
  <si>
    <t>IMC</t>
  </si>
  <si>
    <t>Immutep Ltd</t>
  </si>
  <si>
    <t>IMM</t>
  </si>
  <si>
    <t>Impact Minerals Ltd</t>
  </si>
  <si>
    <t>IPT</t>
  </si>
  <si>
    <t>Impedimed Ltd</t>
  </si>
  <si>
    <t>IPD</t>
  </si>
  <si>
    <t>Imricor Medical Systems Inc</t>
  </si>
  <si>
    <t>IMR</t>
  </si>
  <si>
    <t>Imugene Ltd</t>
  </si>
  <si>
    <t>IMU</t>
  </si>
  <si>
    <t>Income Asset Management Group Ltd</t>
  </si>
  <si>
    <t>IAM</t>
  </si>
  <si>
    <t>Infomedia Ltd</t>
  </si>
  <si>
    <t>IFM</t>
  </si>
  <si>
    <t>Infragreen Group Limited IPO - 20/06/2025</t>
  </si>
  <si>
    <t>IFNZZ</t>
  </si>
  <si>
    <t>INFRAGREEN GROUP LIMITED NPV</t>
  </si>
  <si>
    <t>IFN</t>
  </si>
  <si>
    <t>Infratil Ltd</t>
  </si>
  <si>
    <t>IFT</t>
  </si>
  <si>
    <t>Ingenia Communities Group</t>
  </si>
  <si>
    <t>INA</t>
  </si>
  <si>
    <t>Inghams Group Ltd</t>
  </si>
  <si>
    <t>ING</t>
  </si>
  <si>
    <t>Insignia Financial Ltd</t>
  </si>
  <si>
    <t>IFL</t>
  </si>
  <si>
    <t>INSURANCE AUSTRALIA GROUP CAP NOTE 3 BBSW 3.50% PERP NON CUM RED T</t>
  </si>
  <si>
    <t>IAGPE</t>
  </si>
  <si>
    <t>INSURANCE AUSTRALIA GROUP CAP NOTE 3 BBSW+3.20% PERP NON CUM RED P</t>
  </si>
  <si>
    <t>IAGPF</t>
  </si>
  <si>
    <t>Insurance Australia Group Ltd</t>
  </si>
  <si>
    <t>IAG</t>
  </si>
  <si>
    <t>Integral Diagnostics Ltd</t>
  </si>
  <si>
    <t>IDX</t>
  </si>
  <si>
    <t>Integrated Research Ltd</t>
  </si>
  <si>
    <t>IRI</t>
  </si>
  <si>
    <t>Intelligent Investor Aus Equity Growth Fund (Managed Fund)</t>
  </si>
  <si>
    <t>IIGF</t>
  </si>
  <si>
    <t>Intelligent Monitoring Group Ltd</t>
  </si>
  <si>
    <t>IMB</t>
  </si>
  <si>
    <t>Invictus Energy Ltd</t>
  </si>
  <si>
    <t>IVZ</t>
  </si>
  <si>
    <t>Iodm Ltd</t>
  </si>
  <si>
    <t>IOD</t>
  </si>
  <si>
    <t>Ioneer Ltd</t>
  </si>
  <si>
    <t>INR</t>
  </si>
  <si>
    <t>Ionic Rare EARTHS Ltd</t>
  </si>
  <si>
    <t>IXR</t>
  </si>
  <si>
    <t>Ipd Group Ltd</t>
  </si>
  <si>
    <t>IPG</t>
  </si>
  <si>
    <t>Iperionx Ltd</t>
  </si>
  <si>
    <t>IPX</t>
  </si>
  <si>
    <t>IPH Ltd</t>
  </si>
  <si>
    <t>IPH</t>
  </si>
  <si>
    <t>Iress Ltd</t>
  </si>
  <si>
    <t>IRE</t>
  </si>
  <si>
    <t>Iris Metals Ltd</t>
  </si>
  <si>
    <t>IR1</t>
  </si>
  <si>
    <t>Ironbark Capital Ltd</t>
  </si>
  <si>
    <t>IBC</t>
  </si>
  <si>
    <t>Ishares Asia 50 ETF</t>
  </si>
  <si>
    <t>IAA</t>
  </si>
  <si>
    <t>Ishares Balanced Esg ETF</t>
  </si>
  <si>
    <t>IBAL</t>
  </si>
  <si>
    <t>Ishares China Large-Cap ETF</t>
  </si>
  <si>
    <t>IZZ</t>
  </si>
  <si>
    <t>Ishares Core Cash ETF</t>
  </si>
  <si>
    <t>BILL</t>
  </si>
  <si>
    <t>Ishares Core Composite Bond ETF</t>
  </si>
  <si>
    <t>IAF</t>
  </si>
  <si>
    <t>Ishares Core Corporate Bond ETF</t>
  </si>
  <si>
    <t>ICOR</t>
  </si>
  <si>
    <t>Ishares Core Global Corporate Bond(Aud Hedged) ETF</t>
  </si>
  <si>
    <t>IHCB</t>
  </si>
  <si>
    <t>Ishares Core MSCI Australia Esg ETF</t>
  </si>
  <si>
    <t>IESG</t>
  </si>
  <si>
    <t>Ishares Core MSCI World Ex Aus Esg (Aud Hed) ETF</t>
  </si>
  <si>
    <t>IHWL</t>
  </si>
  <si>
    <t>Ishares Core MSCI World Ex Australia Esg ETF</t>
  </si>
  <si>
    <t>IWLD</t>
  </si>
  <si>
    <t>Ishares Core S&amp;P/ASX 200 ETF</t>
  </si>
  <si>
    <t>IOZ</t>
  </si>
  <si>
    <t>Ishares Edge MSCI Australia Minimum Volatility ETF</t>
  </si>
  <si>
    <t>MVOL</t>
  </si>
  <si>
    <t>Ishares Edge MSCI Australia Multifactor ETF</t>
  </si>
  <si>
    <t>AUMF</t>
  </si>
  <si>
    <t>Ishares Enhanced Cash ETF</t>
  </si>
  <si>
    <t>ISEC</t>
  </si>
  <si>
    <t>Ishares Europe ETF</t>
  </si>
  <si>
    <t>IEU</t>
  </si>
  <si>
    <t>IShares FTSE GBL Infrastructure (Aud Hedged) ETF</t>
  </si>
  <si>
    <t>GLIN</t>
  </si>
  <si>
    <t>Ishares Ftse GBL Property Ex Aus (Aud Hedged) ETF</t>
  </si>
  <si>
    <t>GLPR</t>
  </si>
  <si>
    <t>Ishares Global 100 Aud Hedged ETF</t>
  </si>
  <si>
    <t>IHOO</t>
  </si>
  <si>
    <t>Ishares Global 100 ETF</t>
  </si>
  <si>
    <t>IOO</t>
  </si>
  <si>
    <t>Ishares Global Aggregate Bond Esg (Aud Hedged) ETF</t>
  </si>
  <si>
    <t>AESG</t>
  </si>
  <si>
    <t>Ishares Global Consumer Staples ETF</t>
  </si>
  <si>
    <t>IXI</t>
  </si>
  <si>
    <t>Ishares Global Healthcare ETF</t>
  </si>
  <si>
    <t>IXJ</t>
  </si>
  <si>
    <t>Ishares Global High Yield Bond (Aud Hedged) ETF</t>
  </si>
  <si>
    <t>IHHY</t>
  </si>
  <si>
    <t>Ishares Government Inflation ETF</t>
  </si>
  <si>
    <t>ILB</t>
  </si>
  <si>
    <t>Ishares J.P. Morgan Usd Emerging Markets (Aud Hedged) ETF</t>
  </si>
  <si>
    <t>IHEB</t>
  </si>
  <si>
    <t>Ishares MSCI Eafe ETF</t>
  </si>
  <si>
    <t>IVE</t>
  </si>
  <si>
    <t>Ishares MSCI Emerging Markets ETF</t>
  </si>
  <si>
    <t>IEM</t>
  </si>
  <si>
    <t>ISHARES MSCI EMERGING MARKETS EX CHINA ETF</t>
  </si>
  <si>
    <t>EMXC</t>
  </si>
  <si>
    <t>Ishares MSCI Japan ETF</t>
  </si>
  <si>
    <t>IJP</t>
  </si>
  <si>
    <t>Ishares MSCI South Korea ETF</t>
  </si>
  <si>
    <t>IKO</t>
  </si>
  <si>
    <t>Ishares MSCI World Ex Aust Minimum Volatility ETF</t>
  </si>
  <si>
    <t>WVOL</t>
  </si>
  <si>
    <t>Ishares Physical Gold ETF</t>
  </si>
  <si>
    <t>GLDN</t>
  </si>
  <si>
    <t>Ishares S&amp;P 500 Aud Hedged ETF</t>
  </si>
  <si>
    <t>IHVV</t>
  </si>
  <si>
    <t>Ishares S&amp;P 500 ETF</t>
  </si>
  <si>
    <t>IVV</t>
  </si>
  <si>
    <t>Ishares S&amp;P Mid-Cap ETF</t>
  </si>
  <si>
    <t>IJH</t>
  </si>
  <si>
    <t>Ishares S&amp;P Small-Cap ETF</t>
  </si>
  <si>
    <t>IJR</t>
  </si>
  <si>
    <t>Ishares S&amp;P/ASX 20 ETF</t>
  </si>
  <si>
    <t>ILC</t>
  </si>
  <si>
    <t>Ishares S&amp;P/ASX DIV Opportunities Esg Screened ETF</t>
  </si>
  <si>
    <t>IHD</t>
  </si>
  <si>
    <t>Ishares S&amp;P/ASX Small Ordinaries ETF</t>
  </si>
  <si>
    <t>ISO</t>
  </si>
  <si>
    <t>Ishares Treasury ETF</t>
  </si>
  <si>
    <t>IGB</t>
  </si>
  <si>
    <t>Ishares U.S. Treasury Bond (Aud Hedged) ETF</t>
  </si>
  <si>
    <t>IUSG</t>
  </si>
  <si>
    <t>Ishares World Equity Factor ETF</t>
  </si>
  <si>
    <t>WDMF</t>
  </si>
  <si>
    <t>Ishares Yield Plus ETF</t>
  </si>
  <si>
    <t>IYLD</t>
  </si>
  <si>
    <t>Ive Group Ltd</t>
  </si>
  <si>
    <t>IGL</t>
  </si>
  <si>
    <t>James Hardie Industries Plc</t>
  </si>
  <si>
    <t>JHX</t>
  </si>
  <si>
    <t>Janison Education Group Ltd</t>
  </si>
  <si>
    <t>JAN</t>
  </si>
  <si>
    <t>JANUS HENDERSON INVESTORS (AU) LTD TACTICAL INCOME ACTIVE ETF MANAGED AUD***</t>
  </si>
  <si>
    <t>TACT</t>
  </si>
  <si>
    <t>JB Hi-Fi Ltd</t>
  </si>
  <si>
    <t>JBH</t>
  </si>
  <si>
    <t>Johns LYNG Group Ltd</t>
  </si>
  <si>
    <t>JLG</t>
  </si>
  <si>
    <t>Joyce Corporation Ltd</t>
  </si>
  <si>
    <t>JYC</t>
  </si>
  <si>
    <t>JPM EQTY Prem Inc H Active ETF (Managed Fund)</t>
  </si>
  <si>
    <t>JHPI</t>
  </si>
  <si>
    <t>JPM US100Q EQ Prem Inc Active ETF (Managed Fund)</t>
  </si>
  <si>
    <t>JPEQ</t>
  </si>
  <si>
    <t>JPMORGAN ASSET MGMT (AUSTRALIA) LTD EMERGING MARKETS RESEARCH ENHANCED INDEX***</t>
  </si>
  <si>
    <t>JREM</t>
  </si>
  <si>
    <t>JPMORGAN ASSET MGMT (AUSTRALIA) LTD JPMORGAN INCOME ACTIVE ETF MGD AUD HDG***</t>
  </si>
  <si>
    <t>JPIE</t>
  </si>
  <si>
    <t>Jpmorgan EQ Prem Income Active ETF (Managed Fund)</t>
  </si>
  <si>
    <t>JEPI</t>
  </si>
  <si>
    <t>Jpmorgan GL Re En in EQH Active ETF (Managed Fund)</t>
  </si>
  <si>
    <t>JRHG</t>
  </si>
  <si>
    <t>Jpmorgan GL Res En in EQ Active ETF (Managed Fund)</t>
  </si>
  <si>
    <t>JREG</t>
  </si>
  <si>
    <t>JUDO CAPITAL HLDGS LTD FRN CNV PERP AUD100 'REGS'</t>
  </si>
  <si>
    <t>JDOPA</t>
  </si>
  <si>
    <t>Judo Capital Holdings Ltd</t>
  </si>
  <si>
    <t>JDO</t>
  </si>
  <si>
    <t>Jumbo Interactive Ltd</t>
  </si>
  <si>
    <t>JIN</t>
  </si>
  <si>
    <t>Jupiter Mines Ltd</t>
  </si>
  <si>
    <t>JMS</t>
  </si>
  <si>
    <t>K &amp; S Corporation Ltd</t>
  </si>
  <si>
    <t>KSC</t>
  </si>
  <si>
    <t>Kairos Minerals Ltd</t>
  </si>
  <si>
    <t>KAI</t>
  </si>
  <si>
    <t>Kalamazoo Resources Ltd</t>
  </si>
  <si>
    <t>KZR</t>
  </si>
  <si>
    <t>Kali Metals Ltd</t>
  </si>
  <si>
    <t>KM1</t>
  </si>
  <si>
    <t>Karoon Energy Ltd</t>
  </si>
  <si>
    <t>KAR</t>
  </si>
  <si>
    <t>Kelly Partners Group Holdings Ltd</t>
  </si>
  <si>
    <t>KPG</t>
  </si>
  <si>
    <t>Kelsian Group Ltd</t>
  </si>
  <si>
    <t>KLS</t>
  </si>
  <si>
    <t>Kina Securities Ltd</t>
  </si>
  <si>
    <t>KSL</t>
  </si>
  <si>
    <t>KINCORA COPPER LTD NPV DFD 08/09/25(EXSPLIT)</t>
  </si>
  <si>
    <t>KCCDA</t>
  </si>
  <si>
    <t>King River Resources Ltd</t>
  </si>
  <si>
    <t>KRR</t>
  </si>
  <si>
    <t>Kingsgate Consolidated Ltd</t>
  </si>
  <si>
    <t>KCN</t>
  </si>
  <si>
    <t>Kingsrose Mining Ltd</t>
  </si>
  <si>
    <t>KRM</t>
  </si>
  <si>
    <t>Kip Mcgrath Education Centres Ltd</t>
  </si>
  <si>
    <t>KME</t>
  </si>
  <si>
    <t>KKR Credit Income Fund</t>
  </si>
  <si>
    <t>KKC</t>
  </si>
  <si>
    <t>KMD Brands Ltd</t>
  </si>
  <si>
    <t>KMD</t>
  </si>
  <si>
    <t>Kogan.com Ltd</t>
  </si>
  <si>
    <t>KGN</t>
  </si>
  <si>
    <t>L1 Capital International Fund (Managed Fund)</t>
  </si>
  <si>
    <t>L1IF</t>
  </si>
  <si>
    <t>L1 Long Short Fund Ltd</t>
  </si>
  <si>
    <t>LSF</t>
  </si>
  <si>
    <t>LA TROBE PRIVATE CREDIT FUND NPV</t>
  </si>
  <si>
    <t>LF1</t>
  </si>
  <si>
    <t>Lachlan Star Ltd</t>
  </si>
  <si>
    <t>LSA</t>
  </si>
  <si>
    <t>Lake Resources N.L.</t>
  </si>
  <si>
    <t>LKE</t>
  </si>
  <si>
    <t>Lark Distilling Co. Ltd</t>
  </si>
  <si>
    <t>LRK</t>
  </si>
  <si>
    <t>Larvotto Resources Ltd</t>
  </si>
  <si>
    <t>LRV</t>
  </si>
  <si>
    <t>Laserbond Ltd</t>
  </si>
  <si>
    <t>LBL</t>
  </si>
  <si>
    <t>Latitude Group Holdings Ltd</t>
  </si>
  <si>
    <t>LFS</t>
  </si>
  <si>
    <t>LCL Resources Ltd</t>
  </si>
  <si>
    <t>LCL</t>
  </si>
  <si>
    <t>Legacy Iron Ore Ltd</t>
  </si>
  <si>
    <t>LCY</t>
  </si>
  <si>
    <t>Legend Mining Ltd</t>
  </si>
  <si>
    <t>LEG</t>
  </si>
  <si>
    <t>Lendlease Group</t>
  </si>
  <si>
    <t>LLC</t>
  </si>
  <si>
    <t>Leo Lithium Ltd</t>
  </si>
  <si>
    <t>LLL</t>
  </si>
  <si>
    <t>LGI Ltd</t>
  </si>
  <si>
    <t>LGI</t>
  </si>
  <si>
    <t>Li-S Energy Ltd</t>
  </si>
  <si>
    <t>LIS</t>
  </si>
  <si>
    <t>Liberty Financial Group</t>
  </si>
  <si>
    <t>LFG</t>
  </si>
  <si>
    <t>LIFE360 Inc</t>
  </si>
  <si>
    <t>Lifestyle Communities Ltd</t>
  </si>
  <si>
    <t>LIC</t>
  </si>
  <si>
    <t>Light &amp; Wonder Inc</t>
  </si>
  <si>
    <t>LNW</t>
  </si>
  <si>
    <t>Lindian Resources Ltd</t>
  </si>
  <si>
    <t>LIN</t>
  </si>
  <si>
    <t>Lindsay Australia Ltd</t>
  </si>
  <si>
    <t>LAU</t>
  </si>
  <si>
    <t>Lion Energy Ltd</t>
  </si>
  <si>
    <t>LIO</t>
  </si>
  <si>
    <t>Liontown Resources Ltd</t>
  </si>
  <si>
    <t>LTR</t>
  </si>
  <si>
    <t>Loftus Peak Global Disruption Fund (Managed Fund)</t>
  </si>
  <si>
    <t>LPGD</t>
  </si>
  <si>
    <t>Loomis Sayles GBL EQ Fund (Quoted Managed Fund)</t>
  </si>
  <si>
    <t>LSGE</t>
  </si>
  <si>
    <t>Lotus Resources Ltd</t>
  </si>
  <si>
    <t>LOT</t>
  </si>
  <si>
    <t>Lovisa Holdings Ltd</t>
  </si>
  <si>
    <t>LOV</t>
  </si>
  <si>
    <t>Lumos Diagnostics Holdings Ltd</t>
  </si>
  <si>
    <t>LDX</t>
  </si>
  <si>
    <t>Lunnon Metals Ltd</t>
  </si>
  <si>
    <t>LM8</t>
  </si>
  <si>
    <t>Lycopodium Ltd</t>
  </si>
  <si>
    <t>LYL</t>
  </si>
  <si>
    <t>Lynas Rare EARTHS Ltd</t>
  </si>
  <si>
    <t>LYC</t>
  </si>
  <si>
    <t>Lynch Group Holdings Ltd</t>
  </si>
  <si>
    <t>LGL</t>
  </si>
  <si>
    <t>MA CREDIT INCOME TRUST NPV</t>
  </si>
  <si>
    <t>MA1</t>
  </si>
  <si>
    <t>MA Financial Group Ltd</t>
  </si>
  <si>
    <t>MAF</t>
  </si>
  <si>
    <t>Maas Group Holdings Ltd</t>
  </si>
  <si>
    <t>MGH</t>
  </si>
  <si>
    <t>Macarthur Minerals Ltd</t>
  </si>
  <si>
    <t>MIO</t>
  </si>
  <si>
    <t>MACH7 Technologies Ltd</t>
  </si>
  <si>
    <t>M7T</t>
  </si>
  <si>
    <t>Macmahon Holdings Ltd</t>
  </si>
  <si>
    <t>MAH</t>
  </si>
  <si>
    <t>MACQUARIE BANK FRN SUB PERP AUD1000</t>
  </si>
  <si>
    <t>MBLPC</t>
  </si>
  <si>
    <t>Macquarie Core Australian Equity Active ETF</t>
  </si>
  <si>
    <t>MQAE</t>
  </si>
  <si>
    <t>Macquarie Core Global Equity Active ETF</t>
  </si>
  <si>
    <t>MQEG</t>
  </si>
  <si>
    <t>Macquarie Dynamic Bond Active ETF (Managed Fund)</t>
  </si>
  <si>
    <t>MQDB</t>
  </si>
  <si>
    <t>Macquarie Group Capital Notes 5</t>
  </si>
  <si>
    <t>MQGPE</t>
  </si>
  <si>
    <t>Macquarie Group Capital Notes 6</t>
  </si>
  <si>
    <t>MQGPF</t>
  </si>
  <si>
    <t>MACQUARIE GROUP LIMITED FRN PERP AUD100</t>
  </si>
  <si>
    <t>MBLPD</t>
  </si>
  <si>
    <t>MACQUARIE GROUP LIMITED FRN SUB PERP AUD5000</t>
  </si>
  <si>
    <t>MQGPG</t>
  </si>
  <si>
    <t>MACQUARIE GROUP LIMITED GLOBAL YIELD MAXIMISER ACTIVE ETF</t>
  </si>
  <si>
    <t>MQYM</t>
  </si>
  <si>
    <t>MACQUARIE GROUP LIMITED SUBORDINATED DEBT ACTIVE ETF</t>
  </si>
  <si>
    <t>MQSD</t>
  </si>
  <si>
    <t>Macquarie Group Ltd</t>
  </si>
  <si>
    <t>MQG</t>
  </si>
  <si>
    <t>MACQUARIE GROUP LTD FRN SUB PERP AUD1000 'REGS'</t>
  </si>
  <si>
    <t>MQGPD</t>
  </si>
  <si>
    <t>Macquarie Income Opp Active ETF (Managed Fund)</t>
  </si>
  <si>
    <t>MQIO</t>
  </si>
  <si>
    <t>Macquarie Technology Group Ltd</t>
  </si>
  <si>
    <t>MAQ</t>
  </si>
  <si>
    <t>Macro Metals Ltd</t>
  </si>
  <si>
    <t>M4M</t>
  </si>
  <si>
    <t>Mader Group Ltd</t>
  </si>
  <si>
    <t>MAD</t>
  </si>
  <si>
    <t>MAGELLAN ASSET MANAGEMENT LTD MFG CORE INFRASTRUCTURE AUD***</t>
  </si>
  <si>
    <t>MCSI</t>
  </si>
  <si>
    <t>Magellan Financial Group Ltd</t>
  </si>
  <si>
    <t>MFG</t>
  </si>
  <si>
    <t>MAGELLAN FINANCIAL GROUP LTD OPTION 16/04/27 AUD35</t>
  </si>
  <si>
    <t>MFGO</t>
  </si>
  <si>
    <t>Magellan Global Equities Fund Currency Hedged (Managed Fund)</t>
  </si>
  <si>
    <t>MHG</t>
  </si>
  <si>
    <t>Magellan Global Fund (Open Class) (Managed Fund)</t>
  </si>
  <si>
    <t>MGOC</t>
  </si>
  <si>
    <t>Magellan High Conviction Trust (Managed Fund)</t>
  </si>
  <si>
    <t>MHHT</t>
  </si>
  <si>
    <t>Magellan Infrastructure Fund (Currency Hedged)(Managed Fund)</t>
  </si>
  <si>
    <t>MICH</t>
  </si>
  <si>
    <t>Maggie Beer Holdings Ltd</t>
  </si>
  <si>
    <t>MBH</t>
  </si>
  <si>
    <t>Magnetic Resources NL</t>
  </si>
  <si>
    <t>MAU</t>
  </si>
  <si>
    <t>Marmota Ltd</t>
  </si>
  <si>
    <t>MEU</t>
  </si>
  <si>
    <t>Mayfield Childcare Ltd</t>
  </si>
  <si>
    <t>MFD</t>
  </si>
  <si>
    <t>Mayne Pharma Group Ltd</t>
  </si>
  <si>
    <t>MYX</t>
  </si>
  <si>
    <t>Mcmillan Shakespeare Ltd</t>
  </si>
  <si>
    <t>MMS</t>
  </si>
  <si>
    <t>Mcpherson's Ltd</t>
  </si>
  <si>
    <t>MCP</t>
  </si>
  <si>
    <t>Mec Resources Ltd</t>
  </si>
  <si>
    <t>MMR</t>
  </si>
  <si>
    <t>Medadvisor Ltd</t>
  </si>
  <si>
    <t>MDR</t>
  </si>
  <si>
    <t>Medibank Private Ltd</t>
  </si>
  <si>
    <t>MPL</t>
  </si>
  <si>
    <t>Medical Developments International Ltd</t>
  </si>
  <si>
    <t>MVP</t>
  </si>
  <si>
    <t>Meeka Metals Ltd</t>
  </si>
  <si>
    <t>MEK</t>
  </si>
  <si>
    <t>Megaport Ltd</t>
  </si>
  <si>
    <t>MP1</t>
  </si>
  <si>
    <t>Melbana Energy Ltd</t>
  </si>
  <si>
    <t>MAY</t>
  </si>
  <si>
    <t>Mercury NZ Ltd</t>
  </si>
  <si>
    <t>MCY</t>
  </si>
  <si>
    <t>Meridian Energy Ltd</t>
  </si>
  <si>
    <t>MEZ</t>
  </si>
  <si>
    <t>Mesoblast Ltd</t>
  </si>
  <si>
    <t>MSB</t>
  </si>
  <si>
    <t>Metal Bank Ltd</t>
  </si>
  <si>
    <t>MBK</t>
  </si>
  <si>
    <t>Metals Acquisition Ltd</t>
  </si>
  <si>
    <t>MAC</t>
  </si>
  <si>
    <t>Metals Australia Ltd</t>
  </si>
  <si>
    <t>MLS</t>
  </si>
  <si>
    <t>Metals X Ltd</t>
  </si>
  <si>
    <t>MLX</t>
  </si>
  <si>
    <t>Metcash Ltd</t>
  </si>
  <si>
    <t>MTS</t>
  </si>
  <si>
    <t>Meteoric Resources NL</t>
  </si>
  <si>
    <t>MEI</t>
  </si>
  <si>
    <t>Metrics Income Opportunities Trust</t>
  </si>
  <si>
    <t>MOT</t>
  </si>
  <si>
    <t>Metrics Master Income Trust</t>
  </si>
  <si>
    <t>MXT</t>
  </si>
  <si>
    <t>METRICS REAL ESTATE MULTI-STRATEGY NPV STAPLED</t>
  </si>
  <si>
    <t>MRE</t>
  </si>
  <si>
    <t>Metro Mining Ltd</t>
  </si>
  <si>
    <t>MMI</t>
  </si>
  <si>
    <t>MFF Capital Investments Ltd</t>
  </si>
  <si>
    <t>MFF</t>
  </si>
  <si>
    <t>Michael Hill International Ltd</t>
  </si>
  <si>
    <t>MHJ</t>
  </si>
  <si>
    <t>Micro-X Ltd</t>
  </si>
  <si>
    <t>MX1</t>
  </si>
  <si>
    <t>Microba Life Sciences Ltd</t>
  </si>
  <si>
    <t>MAP</t>
  </si>
  <si>
    <t>Midas Minerals Ltd</t>
  </si>
  <si>
    <t>MM1</t>
  </si>
  <si>
    <t>Milford Australian Absolute Growth (Hedge Fund)</t>
  </si>
  <si>
    <t>MFOA</t>
  </si>
  <si>
    <t>Mineral Resources Ltd</t>
  </si>
  <si>
    <t>MIN</t>
  </si>
  <si>
    <t>Minerals 260 Ltd</t>
  </si>
  <si>
    <t>MI6</t>
  </si>
  <si>
    <t>Mirrabooka Investments Ltd</t>
  </si>
  <si>
    <t>MIR</t>
  </si>
  <si>
    <t>Mirvac Group</t>
  </si>
  <si>
    <t>MGR</t>
  </si>
  <si>
    <t>Mitchell Services Ltd</t>
  </si>
  <si>
    <t>MSV</t>
  </si>
  <si>
    <t>Monadelphous Group Ltd</t>
  </si>
  <si>
    <t>MND</t>
  </si>
  <si>
    <t>Monash Ivf Group Ltd</t>
  </si>
  <si>
    <t>MVF</t>
  </si>
  <si>
    <t>Montaka GBL Long Only Equities Fund (Managed Fund)</t>
  </si>
  <si>
    <t>MOGL</t>
  </si>
  <si>
    <t>Morella Corporation Ltd</t>
  </si>
  <si>
    <t>1MC</t>
  </si>
  <si>
    <t>Morningstar International Shares Active ETF (Managed Fund)</t>
  </si>
  <si>
    <t>MSTR</t>
  </si>
  <si>
    <t>Mount Burgess Mining NL</t>
  </si>
  <si>
    <t>MTB</t>
  </si>
  <si>
    <t>Mount Gibson Iron Ltd</t>
  </si>
  <si>
    <t>MGX</t>
  </si>
  <si>
    <t>MQ Walter Scott GLBL EQ Active ETF (Managed Fund)</t>
  </si>
  <si>
    <t>MQWS</t>
  </si>
  <si>
    <t>Munro Climate Change Leaders Fund (Managed Fund)</t>
  </si>
  <si>
    <t>MCCL</t>
  </si>
  <si>
    <t>Munro Concentrated Global Growth (Managed Fund)</t>
  </si>
  <si>
    <t>MCGG</t>
  </si>
  <si>
    <t>Munro Global Growth Fund (Hedge Fund)</t>
  </si>
  <si>
    <t>MAET</t>
  </si>
  <si>
    <t>Myer Holdings Ltd</t>
  </si>
  <si>
    <t>MYR</t>
  </si>
  <si>
    <t>Mystate Ltd</t>
  </si>
  <si>
    <t>MYS</t>
  </si>
  <si>
    <t>NAB 3.15% PERP NON CUM RED CNV PREF T-12-28</t>
  </si>
  <si>
    <t>NABPI</t>
  </si>
  <si>
    <t>NAB Capital Notes 3</t>
  </si>
  <si>
    <t>NABPF</t>
  </si>
  <si>
    <t>NAB Capital Notes 5</t>
  </si>
  <si>
    <t>NABPH</t>
  </si>
  <si>
    <t>Nanosonics Ltd</t>
  </si>
  <si>
    <t>NAN</t>
  </si>
  <si>
    <t>Nanuk New World Fund (Managed Fund)</t>
  </si>
  <si>
    <t>NNUK</t>
  </si>
  <si>
    <t>Naos Emerging Opportunities Company Ltd</t>
  </si>
  <si>
    <t>NCC</t>
  </si>
  <si>
    <t>Naos Small Cap Opportunities Company Ltd</t>
  </si>
  <si>
    <t>NSC</t>
  </si>
  <si>
    <t>NATIONAL AUSTRALIA BANK FRN CNV PERP AUD5000</t>
  </si>
  <si>
    <t>NABPK</t>
  </si>
  <si>
    <t>National Australia Bank Ltd</t>
  </si>
  <si>
    <t>NAB</t>
  </si>
  <si>
    <t>NATIONAL AUSTRALIA BANK PERP NON-CUM PFD</t>
  </si>
  <si>
    <t>NABPJ</t>
  </si>
  <si>
    <t>National Storage REIT</t>
  </si>
  <si>
    <t>NSR</t>
  </si>
  <si>
    <t>Navigator Global Investments Ltd</t>
  </si>
  <si>
    <t>NGI</t>
  </si>
  <si>
    <t>Neometals Ltd</t>
  </si>
  <si>
    <t>NMT</t>
  </si>
  <si>
    <t>Netwealth Group Ltd</t>
  </si>
  <si>
    <t>NWL</t>
  </si>
  <si>
    <t>Neuren Pharmaceuticals Ltd</t>
  </si>
  <si>
    <t>NEU</t>
  </si>
  <si>
    <t>Neurizer Ltd</t>
  </si>
  <si>
    <t>NRZ</t>
  </si>
  <si>
    <t>NEURIZER LTD OPTION DFD 24/11/26 AUD0.07</t>
  </si>
  <si>
    <t>NRZO</t>
  </si>
  <si>
    <t>New Age Exploration Ltd</t>
  </si>
  <si>
    <t>NAE</t>
  </si>
  <si>
    <t>New Hope Corporation Ltd</t>
  </si>
  <si>
    <t>NHC</t>
  </si>
  <si>
    <t>Newfield Resources Ltd</t>
  </si>
  <si>
    <t>NWF</t>
  </si>
  <si>
    <t>Newmont Corporation</t>
  </si>
  <si>
    <t>NEM</t>
  </si>
  <si>
    <t>NEWS CORP NEW CDI NPV CLASS A (NEW)</t>
  </si>
  <si>
    <t>NWSLV</t>
  </si>
  <si>
    <t>News Corporation</t>
  </si>
  <si>
    <t>NWS</t>
  </si>
  <si>
    <t>Nexgen Energy (Canada) Ltd</t>
  </si>
  <si>
    <t>NXG</t>
  </si>
  <si>
    <t>Next Science Limited</t>
  </si>
  <si>
    <t>NXS</t>
  </si>
  <si>
    <t>NEXTDC Ltd</t>
  </si>
  <si>
    <t>NXT</t>
  </si>
  <si>
    <t>Nexted Group Ltd</t>
  </si>
  <si>
    <t>NXD</t>
  </si>
  <si>
    <t>NH3 CLEAN ENERGY LTD NPV</t>
  </si>
  <si>
    <t>NH3</t>
  </si>
  <si>
    <t>Nib Holdings Ltd</t>
  </si>
  <si>
    <t>NHF</t>
  </si>
  <si>
    <t>Nick Scali Ltd</t>
  </si>
  <si>
    <t>NCK</t>
  </si>
  <si>
    <t>Nickel Industries Ltd</t>
  </si>
  <si>
    <t>NIC</t>
  </si>
  <si>
    <t>Nido Education Ltd</t>
  </si>
  <si>
    <t>NDO</t>
  </si>
  <si>
    <t>Nine Entertainment Co. Holdings Ltd</t>
  </si>
  <si>
    <t>NEC</t>
  </si>
  <si>
    <t>Norfolk Metals Ltd</t>
  </si>
  <si>
    <t>NFL</t>
  </si>
  <si>
    <t>Northern Minerals Ltd</t>
  </si>
  <si>
    <t>NTU</t>
  </si>
  <si>
    <t>Northern Star Resources Ltd</t>
  </si>
  <si>
    <t>NST</t>
  </si>
  <si>
    <t>Norwest Minerals Ltd</t>
  </si>
  <si>
    <t>NWM</t>
  </si>
  <si>
    <t>Noumi Ltd</t>
  </si>
  <si>
    <t>NOU</t>
  </si>
  <si>
    <t>NOUMI LTD OPTION 30/07/2027 AUD0.98</t>
  </si>
  <si>
    <t>NOUO</t>
  </si>
  <si>
    <t>Novonix Ltd</t>
  </si>
  <si>
    <t>NVX</t>
  </si>
  <si>
    <t>Noxopharm Ltd</t>
  </si>
  <si>
    <t>NOX</t>
  </si>
  <si>
    <t>NRW Holdings Ltd</t>
  </si>
  <si>
    <t>NWH</t>
  </si>
  <si>
    <t>Nuchev Ltd</t>
  </si>
  <si>
    <t>NUC</t>
  </si>
  <si>
    <t>Nufarm Finance (NZ) Ltd</t>
  </si>
  <si>
    <t>NFNG</t>
  </si>
  <si>
    <t>Perpetual</t>
  </si>
  <si>
    <t>Nufarm Ltd</t>
  </si>
  <si>
    <t>NUF</t>
  </si>
  <si>
    <t>NUIX Ltd</t>
  </si>
  <si>
    <t>NXL</t>
  </si>
  <si>
    <t>NZME Ltd</t>
  </si>
  <si>
    <t>NZM</t>
  </si>
  <si>
    <t>Objective Corporation Ltd</t>
  </si>
  <si>
    <t>OCL</t>
  </si>
  <si>
    <t>OFX Group Ltd</t>
  </si>
  <si>
    <t>OFX</t>
  </si>
  <si>
    <t>Om Holdings Ltd</t>
  </si>
  <si>
    <t>OMH</t>
  </si>
  <si>
    <t>Omni Bridgeway Ltd</t>
  </si>
  <si>
    <t>OBL</t>
  </si>
  <si>
    <t>Oneview Healthcare Plc</t>
  </si>
  <si>
    <t>ONE</t>
  </si>
  <si>
    <t>Ooh!Media Ltd</t>
  </si>
  <si>
    <t>OML</t>
  </si>
  <si>
    <t>Ophir High Conviction Fund</t>
  </si>
  <si>
    <t>OPH</t>
  </si>
  <si>
    <t>Opthea Ltd</t>
  </si>
  <si>
    <t>OPT</t>
  </si>
  <si>
    <t>Ora Banda Mining Ltd</t>
  </si>
  <si>
    <t>OBM</t>
  </si>
  <si>
    <t>Orbital Corporation Ltd</t>
  </si>
  <si>
    <t>OEC</t>
  </si>
  <si>
    <t>Orica Ltd</t>
  </si>
  <si>
    <t>ORI</t>
  </si>
  <si>
    <t>Origin Energy Ltd</t>
  </si>
  <si>
    <t>ORG</t>
  </si>
  <si>
    <t>Orion Minerals Ltd</t>
  </si>
  <si>
    <t>ORN</t>
  </si>
  <si>
    <t>Orora Ltd</t>
  </si>
  <si>
    <t>ORA</t>
  </si>
  <si>
    <t>Orthocell Ltd</t>
  </si>
  <si>
    <t>OCC</t>
  </si>
  <si>
    <t>Osmond Resources Ltd</t>
  </si>
  <si>
    <t>OSM</t>
  </si>
  <si>
    <t>Ovanti Ltd</t>
  </si>
  <si>
    <t>OVT</t>
  </si>
  <si>
    <t>Pacific Current Group Ltd</t>
  </si>
  <si>
    <t>PAC</t>
  </si>
  <si>
    <t>PACIFIC LIME AND CEMENT LIMITED CDI 1:1</t>
  </si>
  <si>
    <t>PLA</t>
  </si>
  <si>
    <t>Pacific Smiles Group Ltd</t>
  </si>
  <si>
    <t>PSQ</t>
  </si>
  <si>
    <t>Painchek Ltd</t>
  </si>
  <si>
    <t>PCK</t>
  </si>
  <si>
    <t>Paladin Energy Ltd</t>
  </si>
  <si>
    <t>PDN</t>
  </si>
  <si>
    <t>Pancontinental Energy NL</t>
  </si>
  <si>
    <t>PCL</t>
  </si>
  <si>
    <t>Pantoro Ltd</t>
  </si>
  <si>
    <t>PNR</t>
  </si>
  <si>
    <t>Paradigm Biopharmaceuticals Ltd</t>
  </si>
  <si>
    <t>PAR</t>
  </si>
  <si>
    <t>Paradigm Biopharmaceuticals Ltd - Option 11/02/26</t>
  </si>
  <si>
    <t>PAROA</t>
  </si>
  <si>
    <t>Paragon Care Ltd</t>
  </si>
  <si>
    <t>PGC</t>
  </si>
  <si>
    <t>Patriot Battery Metals Inc</t>
  </si>
  <si>
    <t>PMT</t>
  </si>
  <si>
    <t>PATRYS Ltd</t>
  </si>
  <si>
    <t>PAB</t>
  </si>
  <si>
    <t>Peak Rare EARTHS Ltd</t>
  </si>
  <si>
    <t>PEK</t>
  </si>
  <si>
    <t>Peel Mining Ltd</t>
  </si>
  <si>
    <t>PEX</t>
  </si>
  <si>
    <t>Peet Ltd</t>
  </si>
  <si>
    <t>PPC</t>
  </si>
  <si>
    <t>Pengana Capital Group Ltd</t>
  </si>
  <si>
    <t>PCG</t>
  </si>
  <si>
    <t>PENGANA GLOBAL PRIVATE CREDIT TRUST NPV</t>
  </si>
  <si>
    <t>PCX</t>
  </si>
  <si>
    <t>Pengana International Equities Ltd</t>
  </si>
  <si>
    <t>PIA</t>
  </si>
  <si>
    <t>Pengana Private Equity Trust</t>
  </si>
  <si>
    <t>PE1</t>
  </si>
  <si>
    <t>Peninsula Energy Ltd</t>
  </si>
  <si>
    <t>PEN</t>
  </si>
  <si>
    <t>Peoplein Ltd</t>
  </si>
  <si>
    <t>PPE</t>
  </si>
  <si>
    <t>Pepper Money Ltd</t>
  </si>
  <si>
    <t>PPM</t>
  </si>
  <si>
    <t>Percheron Therapeutics Ltd</t>
  </si>
  <si>
    <t>PER</t>
  </si>
  <si>
    <t>Perenti Ltd</t>
  </si>
  <si>
    <t>PRN</t>
  </si>
  <si>
    <t>Perpetual Credit Income Trust</t>
  </si>
  <si>
    <t>PCI</t>
  </si>
  <si>
    <t>Perpetual Equity Investment Company Ltd</t>
  </si>
  <si>
    <t>PIC</t>
  </si>
  <si>
    <t>Perpetual Ltd</t>
  </si>
  <si>
    <t>PPT</t>
  </si>
  <si>
    <t>Perseus Mining Ltd</t>
  </si>
  <si>
    <t>PRU</t>
  </si>
  <si>
    <t>Peter Warren Automotive Holdings Ltd</t>
  </si>
  <si>
    <t>PWR</t>
  </si>
  <si>
    <t>Pexa Group Ltd</t>
  </si>
  <si>
    <t>PXA</t>
  </si>
  <si>
    <t>Phosco Ltd</t>
  </si>
  <si>
    <t>PHO</t>
  </si>
  <si>
    <t>Piedmont Lithium Inc</t>
  </si>
  <si>
    <t>PLL</t>
  </si>
  <si>
    <t>Pilbara Minerals Ltd</t>
  </si>
  <si>
    <t>PLS</t>
  </si>
  <si>
    <t>PINNACLE FUND SERVICES LTD FIRETRAIL AUS SMAL COMPANIES FUND ACTETF</t>
  </si>
  <si>
    <t>FSML</t>
  </si>
  <si>
    <t>Pinnacle Investment Management Group Ltd</t>
  </si>
  <si>
    <t>PNI</t>
  </si>
  <si>
    <t>Pioneer Credit Ltd</t>
  </si>
  <si>
    <t>PNC</t>
  </si>
  <si>
    <t>Platina Resources Ltd</t>
  </si>
  <si>
    <t>PGM</t>
  </si>
  <si>
    <t>Platinum Asia Fund (Quoted Managed Hedge Fund)</t>
  </si>
  <si>
    <t>PAXX</t>
  </si>
  <si>
    <t>Platinum Asset Management Ltd</t>
  </si>
  <si>
    <t>PTM</t>
  </si>
  <si>
    <t>Platinum Capital Ltd</t>
  </si>
  <si>
    <t>PMC</t>
  </si>
  <si>
    <t>Platinum International Fund (Quoted Managed Hedge Fund)</t>
  </si>
  <si>
    <t>PIXX</t>
  </si>
  <si>
    <t>PLATO GLOBAL ALPHA FUND COMPLEX ETF</t>
  </si>
  <si>
    <t>PGA1</t>
  </si>
  <si>
    <t>Plato Income Maximiser Ltd</t>
  </si>
  <si>
    <t>PL8</t>
  </si>
  <si>
    <t>Playside Studios Ltd</t>
  </si>
  <si>
    <t>PLY</t>
  </si>
  <si>
    <t>PM Capital Global Opportunities Fund Ltd</t>
  </si>
  <si>
    <t>PGF</t>
  </si>
  <si>
    <t>Pointerra Ltd</t>
  </si>
  <si>
    <t>3DP</t>
  </si>
  <si>
    <t>Pointsbet Holdings Ltd</t>
  </si>
  <si>
    <t>PBH</t>
  </si>
  <si>
    <t>Polynovo Ltd</t>
  </si>
  <si>
    <t>PNV</t>
  </si>
  <si>
    <t>PPK Group Ltd</t>
  </si>
  <si>
    <t>PPK</t>
  </si>
  <si>
    <t>Praemium Ltd</t>
  </si>
  <si>
    <t>PPS</t>
  </si>
  <si>
    <t>Predictive Discovery Ltd</t>
  </si>
  <si>
    <t>PDI</t>
  </si>
  <si>
    <t>Premier Investments Ltd</t>
  </si>
  <si>
    <t>PMV</t>
  </si>
  <si>
    <t>Prescient Therapeutics Ltd</t>
  </si>
  <si>
    <t>PTX</t>
  </si>
  <si>
    <t>PRL Global Ltd</t>
  </si>
  <si>
    <t>PRG</t>
  </si>
  <si>
    <t>Pro Medicus Ltd</t>
  </si>
  <si>
    <t>PME</t>
  </si>
  <si>
    <t>Pro-Pac Packaging Ltd</t>
  </si>
  <si>
    <t>PPG</t>
  </si>
  <si>
    <t>Prodigy Gold NL</t>
  </si>
  <si>
    <t>PRX</t>
  </si>
  <si>
    <t>Propel Funeral Partners Ltd</t>
  </si>
  <si>
    <t>PFP</t>
  </si>
  <si>
    <t>Proteomics International Laboratories Ltd</t>
  </si>
  <si>
    <t>PIQ</t>
  </si>
  <si>
    <t>Pure Hydrogen Corporation Ltd</t>
  </si>
  <si>
    <t>PH2</t>
  </si>
  <si>
    <t>Pursuit Minerals Ltd</t>
  </si>
  <si>
    <t>PUR</t>
  </si>
  <si>
    <t>PWR Holdings Ltd</t>
  </si>
  <si>
    <t>PWH</t>
  </si>
  <si>
    <t>PYC Therapeutics Ltd</t>
  </si>
  <si>
    <t>PYC</t>
  </si>
  <si>
    <t>Qantas Airways Ltd</t>
  </si>
  <si>
    <t>QAN</t>
  </si>
  <si>
    <t>QBE Insurance Group Ltd</t>
  </si>
  <si>
    <t>QBE</t>
  </si>
  <si>
    <t>QORIA Ltd</t>
  </si>
  <si>
    <t>QOR</t>
  </si>
  <si>
    <t>Qualitas Ltd</t>
  </si>
  <si>
    <t>QAL</t>
  </si>
  <si>
    <t>Qualitas Real Estate Income Fund</t>
  </si>
  <si>
    <t>QRI</t>
  </si>
  <si>
    <t>Quantum Graphite Ltd</t>
  </si>
  <si>
    <t>QGL</t>
  </si>
  <si>
    <t>QUBE Holdings Ltd</t>
  </si>
  <si>
    <t>QUB</t>
  </si>
  <si>
    <t>Queensland Pacific Metals Ltd</t>
  </si>
  <si>
    <t>QPM</t>
  </si>
  <si>
    <t>Race Oncology Ltd</t>
  </si>
  <si>
    <t>RAC</t>
  </si>
  <si>
    <t>Raiden Resources Ltd</t>
  </si>
  <si>
    <t>RDN</t>
  </si>
  <si>
    <t>RAIZ Invest Ltd</t>
  </si>
  <si>
    <t>RZI</t>
  </si>
  <si>
    <t>Ram Essential Services Property Fund</t>
  </si>
  <si>
    <t>REP</t>
  </si>
  <si>
    <t>Ramelius Resources Ltd</t>
  </si>
  <si>
    <t>RMS</t>
  </si>
  <si>
    <t>RAMSAY HEALTH CARE FR-STEP UP NON-CUM CNV RED PREF</t>
  </si>
  <si>
    <t>RHCPA</t>
  </si>
  <si>
    <t>Ramsay Health Care Ltd</t>
  </si>
  <si>
    <t>RHC</t>
  </si>
  <si>
    <t>REA Group Ltd</t>
  </si>
  <si>
    <t>REA</t>
  </si>
  <si>
    <t>REACH RESOURCES LTD OPTION 15/04/27 AUD0.015</t>
  </si>
  <si>
    <t>RR1OA</t>
  </si>
  <si>
    <t>Readytech Holdings Ltd</t>
  </si>
  <si>
    <t>RDY</t>
  </si>
  <si>
    <t>Recce Pharmaceuticals Ltd</t>
  </si>
  <si>
    <t>RCE</t>
  </si>
  <si>
    <t>Red Hill Minerals Ltd</t>
  </si>
  <si>
    <t>RHI</t>
  </si>
  <si>
    <t>REDOX Ltd</t>
  </si>
  <si>
    <t>RDX</t>
  </si>
  <si>
    <t>Reece Ltd</t>
  </si>
  <si>
    <t>REH</t>
  </si>
  <si>
    <t>Reef Casino Trust</t>
  </si>
  <si>
    <t>RCT</t>
  </si>
  <si>
    <t>Regal Asian Investments Ltd</t>
  </si>
  <si>
    <t>RG8</t>
  </si>
  <si>
    <t>Regal Investment Fund</t>
  </si>
  <si>
    <t>RF1</t>
  </si>
  <si>
    <t>Regal Partners Ltd</t>
  </si>
  <si>
    <t>RPL</t>
  </si>
  <si>
    <t>Region Group</t>
  </si>
  <si>
    <t>RGN</t>
  </si>
  <si>
    <t>Regis Healthcare Ltd</t>
  </si>
  <si>
    <t>REG</t>
  </si>
  <si>
    <t>Regis Resources Ltd</t>
  </si>
  <si>
    <t>RRL</t>
  </si>
  <si>
    <t>Reliance Worldwide Corporation Ltd</t>
  </si>
  <si>
    <t>RWC</t>
  </si>
  <si>
    <t>Remsense Technologies Ltd</t>
  </si>
  <si>
    <t>REM</t>
  </si>
  <si>
    <t>Renascor Resources Ltd</t>
  </si>
  <si>
    <t>RNU</t>
  </si>
  <si>
    <t>Rent.com.Au Ltd</t>
  </si>
  <si>
    <t>RNT</t>
  </si>
  <si>
    <t>Resimac Group Ltd</t>
  </si>
  <si>
    <t>RMC</t>
  </si>
  <si>
    <t>Resmed Inc</t>
  </si>
  <si>
    <t>RMD</t>
  </si>
  <si>
    <t>Resolute Mining Ltd</t>
  </si>
  <si>
    <t>RSG</t>
  </si>
  <si>
    <t>Resolution Cap Global Prop Sec (Managed Fund)</t>
  </si>
  <si>
    <t>RCAP</t>
  </si>
  <si>
    <t>Resonance Health Ltd</t>
  </si>
  <si>
    <t>RHT</t>
  </si>
  <si>
    <t>Resources &amp; Energy Group Limited</t>
  </si>
  <si>
    <t>REZ</t>
  </si>
  <si>
    <t>Retail Food Group Ltd</t>
  </si>
  <si>
    <t>RFG</t>
  </si>
  <si>
    <t>Reward Minerals Ltd</t>
  </si>
  <si>
    <t>RWD</t>
  </si>
  <si>
    <t>RHYTHM Biosciences Ltd</t>
  </si>
  <si>
    <t>RHY</t>
  </si>
  <si>
    <t>Ricegrowers Ltd</t>
  </si>
  <si>
    <t>SGLLV</t>
  </si>
  <si>
    <t>Richmond Vanadium Technology Ltd</t>
  </si>
  <si>
    <t>RVT</t>
  </si>
  <si>
    <t>Ridley Corporation Ltd</t>
  </si>
  <si>
    <t>RIC</t>
  </si>
  <si>
    <t>Rimfire Pacific Mining Ltd</t>
  </si>
  <si>
    <t>RIM</t>
  </si>
  <si>
    <t>RIO Tinto Ltd</t>
  </si>
  <si>
    <t>RIO</t>
  </si>
  <si>
    <t>Riversgold Ltd</t>
  </si>
  <si>
    <t>RGL</t>
  </si>
  <si>
    <t>ROKEBY RESOURCES LTD NPV</t>
  </si>
  <si>
    <t>RKB</t>
  </si>
  <si>
    <t>ROKEBY RESOURCES LTD OPTION 31/12/25 AUD0.035</t>
  </si>
  <si>
    <t>RKBOF</t>
  </si>
  <si>
    <t>ROKEBY RESOURCES LTD OPTION 31/12/26 AUD0.08</t>
  </si>
  <si>
    <t>RKBOE</t>
  </si>
  <si>
    <t>RPM Automotive Group Ltd</t>
  </si>
  <si>
    <t>RPM</t>
  </si>
  <si>
    <t>Rpmglobal Holdings Ltd</t>
  </si>
  <si>
    <t>RUL</t>
  </si>
  <si>
    <t>Rural Funds Group</t>
  </si>
  <si>
    <t>RFF</t>
  </si>
  <si>
    <t>Russell Investments Australian Responsible Investment ETF</t>
  </si>
  <si>
    <t>RARI</t>
  </si>
  <si>
    <t>Russell Investments Australian Select Corporate Bond ETF</t>
  </si>
  <si>
    <t>RCB</t>
  </si>
  <si>
    <t>Russell Investments High Dividend Australian Shares ETF</t>
  </si>
  <si>
    <t>RDV</t>
  </si>
  <si>
    <t>Ryder Capital Ltd</t>
  </si>
  <si>
    <t>RYD</t>
  </si>
  <si>
    <t>S2 Resources Ltd</t>
  </si>
  <si>
    <t>S2R</t>
  </si>
  <si>
    <t>Sandfire Resources Ltd</t>
  </si>
  <si>
    <t>SFR</t>
  </si>
  <si>
    <t>SANDON CAPITAL INV 4.8% BDS 10/07/2026 AUD1000</t>
  </si>
  <si>
    <t>SNCHA</t>
  </si>
  <si>
    <t>Santana Minerals Ltd</t>
  </si>
  <si>
    <t>SMI</t>
  </si>
  <si>
    <t>Santos Ltd</t>
  </si>
  <si>
    <t>STO</t>
  </si>
  <si>
    <t>Saunders International Ltd</t>
  </si>
  <si>
    <t>SND</t>
  </si>
  <si>
    <t>Savannah Goldfields Ltd</t>
  </si>
  <si>
    <t>SVG</t>
  </si>
  <si>
    <t>Sayona Mining Ltd</t>
  </si>
  <si>
    <t>SYA</t>
  </si>
  <si>
    <t>Scentre Group</t>
  </si>
  <si>
    <t>SCG</t>
  </si>
  <si>
    <t>Schaffer Corporation Ltd</t>
  </si>
  <si>
    <t>SFC</t>
  </si>
  <si>
    <t>SCHRODER ABS RETURN INC ETF SCHRODER ABS RETURN INC ETF***</t>
  </si>
  <si>
    <t>PAYS</t>
  </si>
  <si>
    <t>Schroder Australian High Yielding Credit ActiveETF***</t>
  </si>
  <si>
    <t>HIGH</t>
  </si>
  <si>
    <t>SCHRODER INVESTMENT MNMGT AUSTRALIA SCHRODER GLOBAL EQUITY ALPHA FUND ACTIVE</t>
  </si>
  <si>
    <t>ALPH</t>
  </si>
  <si>
    <t>Schroder Real Return (Managed Fund)</t>
  </si>
  <si>
    <t>GROW</t>
  </si>
  <si>
    <t>Scidev Ltd</t>
  </si>
  <si>
    <t>SDV</t>
  </si>
  <si>
    <t>SDI Ltd</t>
  </si>
  <si>
    <t>SDI</t>
  </si>
  <si>
    <t>Seafarms Group Ltd</t>
  </si>
  <si>
    <t>SFG</t>
  </si>
  <si>
    <t>Seek Ltd</t>
  </si>
  <si>
    <t>SEK</t>
  </si>
  <si>
    <t>Select Harvests Ltd</t>
  </si>
  <si>
    <t>SHV</t>
  </si>
  <si>
    <t>Servcorp Ltd</t>
  </si>
  <si>
    <t>SRV</t>
  </si>
  <si>
    <t>Service Stream Ltd</t>
  </si>
  <si>
    <t>SSM</t>
  </si>
  <si>
    <t>Seven West Media Ltd</t>
  </si>
  <si>
    <t>SWM</t>
  </si>
  <si>
    <t>SGH LTD NPV</t>
  </si>
  <si>
    <t>SGH</t>
  </si>
  <si>
    <t>Shape Australia Corporation Ltd</t>
  </si>
  <si>
    <t>SHA</t>
  </si>
  <si>
    <t>Shaver Shop Group Ltd</t>
  </si>
  <si>
    <t>SSG</t>
  </si>
  <si>
    <t>Sheffield Resources Ltd</t>
  </si>
  <si>
    <t>SFX</t>
  </si>
  <si>
    <t>Sigma Healthcare Ltd</t>
  </si>
  <si>
    <t>SIG</t>
  </si>
  <si>
    <t>SILEX Systems Ltd</t>
  </si>
  <si>
    <t>SLX</t>
  </si>
  <si>
    <t>Silver Mines Ltd</t>
  </si>
  <si>
    <t>SVL</t>
  </si>
  <si>
    <t>Sims Ltd</t>
  </si>
  <si>
    <t>SGM</t>
  </si>
  <si>
    <t>Siren Gold Ltd</t>
  </si>
  <si>
    <t>SNG</t>
  </si>
  <si>
    <t>Siteminder Ltd</t>
  </si>
  <si>
    <t>SDR</t>
  </si>
  <si>
    <t>SKS Technologies Group Ltd</t>
  </si>
  <si>
    <t>SKS</t>
  </si>
  <si>
    <t>Skycity Entertainment Group Ltd</t>
  </si>
  <si>
    <t>SKC</t>
  </si>
  <si>
    <t>Smart Parking Ltd</t>
  </si>
  <si>
    <t>SPZ</t>
  </si>
  <si>
    <t>Smartgroup Corporation Ltd</t>
  </si>
  <si>
    <t>SIQ</t>
  </si>
  <si>
    <t>Smartpay Holdings Ltd</t>
  </si>
  <si>
    <t>SMP</t>
  </si>
  <si>
    <t>Solvar Ltd</t>
  </si>
  <si>
    <t>SVR</t>
  </si>
  <si>
    <t>Sonic Healthcare Ltd</t>
  </si>
  <si>
    <t>SHL</t>
  </si>
  <si>
    <t>SOUTH32 Ltd</t>
  </si>
  <si>
    <t>S32</t>
  </si>
  <si>
    <t>Southern Cross Electrical Engineering Ltd</t>
  </si>
  <si>
    <t>SXE</t>
  </si>
  <si>
    <t>SOUTHERN CROSS GOLD CONS LTD NPV CDI 1:1</t>
  </si>
  <si>
    <t>SX2</t>
  </si>
  <si>
    <t>Southern Cross Media Group Ltd</t>
  </si>
  <si>
    <t>SXL</t>
  </si>
  <si>
    <t>Sovereign Metals Ltd</t>
  </si>
  <si>
    <t>SVM</t>
  </si>
  <si>
    <t>Spark New Zealand Ltd</t>
  </si>
  <si>
    <t>SPK</t>
  </si>
  <si>
    <t>SPC GLOBAL HOLDINGS LIMITED NPV</t>
  </si>
  <si>
    <t>SPG</t>
  </si>
  <si>
    <t>SPDR Dow Jones Global Real Estate ESG Tilted ETF</t>
  </si>
  <si>
    <t>DJRE</t>
  </si>
  <si>
    <t>SPDR MSCI Australia Select High Dividend Yield ETF</t>
  </si>
  <si>
    <t>SYI</t>
  </si>
  <si>
    <t>SPDR MSCI World Quality Mix ETF</t>
  </si>
  <si>
    <t>QMIX</t>
  </si>
  <si>
    <t>SPDR S&amp;P 500 ETF Trust</t>
  </si>
  <si>
    <t>SPY</t>
  </si>
  <si>
    <t>SPDR S&amp;P Global Dividend ETF</t>
  </si>
  <si>
    <t>WDIV</t>
  </si>
  <si>
    <t>SPDR S&amp;P World Ex Aus Carbon Aware (Hedged) ETF</t>
  </si>
  <si>
    <t>WXHG</t>
  </si>
  <si>
    <t>SPDR S&amp;P World Ex Australia Carbon Aware ETF</t>
  </si>
  <si>
    <t>WXOZ</t>
  </si>
  <si>
    <t>SPDR S&amp;P/ASX 200 ESG ETF</t>
  </si>
  <si>
    <t>E200</t>
  </si>
  <si>
    <t>SPDR S&amp;P/ASX 200 ETF</t>
  </si>
  <si>
    <t>STW</t>
  </si>
  <si>
    <t>SPDR S&amp;P/ASX 200 Financials EX A-REIT ETF</t>
  </si>
  <si>
    <t>OZF</t>
  </si>
  <si>
    <t>SPDR S&amp;P/ASX 200 Listed Property ETF</t>
  </si>
  <si>
    <t>SLF</t>
  </si>
  <si>
    <t>SPDR S&amp;P/ASX 200 Resources ETF</t>
  </si>
  <si>
    <t>OZR</t>
  </si>
  <si>
    <t>SPDR S&amp;P/ASX 50 ETF</t>
  </si>
  <si>
    <t>SFY</t>
  </si>
  <si>
    <t>SPDR S&amp;P/ASX Australian Bond ETF</t>
  </si>
  <si>
    <t>BOND</t>
  </si>
  <si>
    <t>SPDR S&amp;P/ASX Australian Government Bond ETF</t>
  </si>
  <si>
    <t>GOVT</t>
  </si>
  <si>
    <t>SPDR S&amp;P/ASX Small Ordinaries ETF</t>
  </si>
  <si>
    <t>SSO</t>
  </si>
  <si>
    <t>Spenda Ltd</t>
  </si>
  <si>
    <t>SPX</t>
  </si>
  <si>
    <t>Spheria Emerging Companies Ltd</t>
  </si>
  <si>
    <t>SEC</t>
  </si>
  <si>
    <t>Spirit Technology Solutions Ltd</t>
  </si>
  <si>
    <t>ST1</t>
  </si>
  <si>
    <t>SRG Global Ltd</t>
  </si>
  <si>
    <t>SRG</t>
  </si>
  <si>
    <t>SRJ Technologies Group Plc</t>
  </si>
  <si>
    <t>SRJ</t>
  </si>
  <si>
    <t>ST Barbara Ltd</t>
  </si>
  <si>
    <t>SBM</t>
  </si>
  <si>
    <t>ST George Mining Ltd</t>
  </si>
  <si>
    <t>SGQ</t>
  </si>
  <si>
    <t>Stanmore Resources Ltd</t>
  </si>
  <si>
    <t>SMR</t>
  </si>
  <si>
    <t>Starpharma Holdings Ltd</t>
  </si>
  <si>
    <t>SPL</t>
  </si>
  <si>
    <t>Staude Capital Global Value Fund Ltd</t>
  </si>
  <si>
    <t>GVF</t>
  </si>
  <si>
    <t>Stavely Minerals Ltd</t>
  </si>
  <si>
    <t>SVY</t>
  </si>
  <si>
    <t>Steadfast Group Ltd</t>
  </si>
  <si>
    <t>SDF</t>
  </si>
  <si>
    <t>Steamships Trading Company Ltd</t>
  </si>
  <si>
    <t>SST</t>
  </si>
  <si>
    <t>Step One Clothing Ltd</t>
  </si>
  <si>
    <t>STP</t>
  </si>
  <si>
    <t>Stockland</t>
  </si>
  <si>
    <t>SGP</t>
  </si>
  <si>
    <t>Strickland Metals Ltd</t>
  </si>
  <si>
    <t>STK</t>
  </si>
  <si>
    <t>Strike Energy Ltd</t>
  </si>
  <si>
    <t>STX</t>
  </si>
  <si>
    <t>SUNCORP GROUP LIMITED FRN CNV PERP AUD100</t>
  </si>
  <si>
    <t>SUNPI</t>
  </si>
  <si>
    <t>SUNCORP GROUP LIMITED FRN CNV PERP AUD500000</t>
  </si>
  <si>
    <t>SUNPJ</t>
  </si>
  <si>
    <t>Suncorp Group Ltd</t>
  </si>
  <si>
    <t>SUN</t>
  </si>
  <si>
    <t>SUNCORP GROUP LTD FRN CNV SUB PERP AUD100</t>
  </si>
  <si>
    <t>SUNPH</t>
  </si>
  <si>
    <t>Sunrise Energy Metals Ltd</t>
  </si>
  <si>
    <t>SRL</t>
  </si>
  <si>
    <t>Sunshine Metals Ltd</t>
  </si>
  <si>
    <t>SHN</t>
  </si>
  <si>
    <t>Super Retail Group Ltd</t>
  </si>
  <si>
    <t>SUL</t>
  </si>
  <si>
    <t>Superior Resources Ltd</t>
  </si>
  <si>
    <t>SPQ</t>
  </si>
  <si>
    <t>Superloop Ltd</t>
  </si>
  <si>
    <t>SLC</t>
  </si>
  <si>
    <t>Supply Network Ltd</t>
  </si>
  <si>
    <t>SNL</t>
  </si>
  <si>
    <t>SYMAL GROUP LTD NPV</t>
  </si>
  <si>
    <t>SYL</t>
  </si>
  <si>
    <t>Synertec Corporation Ltd</t>
  </si>
  <si>
    <t>SOP</t>
  </si>
  <si>
    <t>Synlait Milk Ltd</t>
  </si>
  <si>
    <t>SM1</t>
  </si>
  <si>
    <t>Syrah Resources Ltd</t>
  </si>
  <si>
    <t>SYR</t>
  </si>
  <si>
    <t>Tabcorp Holdings Ltd</t>
  </si>
  <si>
    <t>TAH</t>
  </si>
  <si>
    <t>Talga Group Ltd</t>
  </si>
  <si>
    <t>TLG</t>
  </si>
  <si>
    <t>TALI RESOURCES LTD NPV</t>
  </si>
  <si>
    <t>TR2</t>
  </si>
  <si>
    <t>Tamboran Resources Corporation</t>
  </si>
  <si>
    <t>TBN</t>
  </si>
  <si>
    <t>Tasmea Ltd</t>
  </si>
  <si>
    <t>TEA</t>
  </si>
  <si>
    <t>Technology One Ltd</t>
  </si>
  <si>
    <t>TNE</t>
  </si>
  <si>
    <t>TELIX Pharmaceuticals Ltd</t>
  </si>
  <si>
    <t>TLX</t>
  </si>
  <si>
    <t>Telstra Group Ltd</t>
  </si>
  <si>
    <t>TLS</t>
  </si>
  <si>
    <t>Temple &amp; Webster Group Ltd</t>
  </si>
  <si>
    <t>TPW</t>
  </si>
  <si>
    <t>Tennant Minerals Ltd</t>
  </si>
  <si>
    <t>TMS</t>
  </si>
  <si>
    <t>Terracom Ltd</t>
  </si>
  <si>
    <t>TER</t>
  </si>
  <si>
    <t>Terragen Holdings Ltd</t>
  </si>
  <si>
    <t>TGH</t>
  </si>
  <si>
    <t>The a2 Milk Company Ltd</t>
  </si>
  <si>
    <t>A2M</t>
  </si>
  <si>
    <t>The Lottery Corporation Ltd</t>
  </si>
  <si>
    <t>TLC</t>
  </si>
  <si>
    <t>The Star Entertainment Group Ltd</t>
  </si>
  <si>
    <t>SGR</t>
  </si>
  <si>
    <t>THETA ASSET MANAGEMENT LTD L1 CAPITAL INTERNATIONAL (HEDGED) ACTIVE</t>
  </si>
  <si>
    <t>L1HI</t>
  </si>
  <si>
    <t>Thorney Opportunities Ltd</t>
  </si>
  <si>
    <t>TOP</t>
  </si>
  <si>
    <t>Tian An Australia Ltd</t>
  </si>
  <si>
    <t>TIA</t>
  </si>
  <si>
    <t>Tigers Realm Coal Ltd</t>
  </si>
  <si>
    <t>TIG</t>
  </si>
  <si>
    <t>Tinybeans Group Ltd</t>
  </si>
  <si>
    <t>TNY</t>
  </si>
  <si>
    <t>Titomic Ltd</t>
  </si>
  <si>
    <t>TTT</t>
  </si>
  <si>
    <t>Tivan Ltd</t>
  </si>
  <si>
    <t>TVN</t>
  </si>
  <si>
    <t>TIVAN LTD OPTION 30/06/26 AUD0.3</t>
  </si>
  <si>
    <t>TVNO</t>
  </si>
  <si>
    <t>TIVAN LTD OPTION 30/06/27 AUD0.12</t>
  </si>
  <si>
    <t>TVNOA</t>
  </si>
  <si>
    <t>TMK Energy Ltd</t>
  </si>
  <si>
    <t>TMK</t>
  </si>
  <si>
    <t>Tourism Holdings Rentals Ltd</t>
  </si>
  <si>
    <t>THL</t>
  </si>
  <si>
    <t>TPG Telecom Ltd</t>
  </si>
  <si>
    <t>TPG</t>
  </si>
  <si>
    <t>Trajan Group Holdings Ltd</t>
  </si>
  <si>
    <t>TRJ</t>
  </si>
  <si>
    <t>Transurban Group</t>
  </si>
  <si>
    <t>TCL</t>
  </si>
  <si>
    <t>Treasury Wine Estates Ltd</t>
  </si>
  <si>
    <t>TWE</t>
  </si>
  <si>
    <t>Tribeca Global Natural Resources Ltd</t>
  </si>
  <si>
    <t>TGF</t>
  </si>
  <si>
    <t>Tribune Resources Ltd</t>
  </si>
  <si>
    <t>TBR</t>
  </si>
  <si>
    <t>Trinex Minerals Ltd</t>
  </si>
  <si>
    <t>TX3</t>
  </si>
  <si>
    <t>True North Copper Ltd</t>
  </si>
  <si>
    <t>TNC</t>
  </si>
  <si>
    <t>TRUST COMPANY (RE SERVICES) LTD FIRST SENTIER GEARED AUSTRALIAN SHARE FU</t>
  </si>
  <si>
    <t>LEVR</t>
  </si>
  <si>
    <t>Tuas Ltd</t>
  </si>
  <si>
    <t>TUA</t>
  </si>
  <si>
    <t>Turaco Gold Ltd</t>
  </si>
  <si>
    <t>TCG</t>
  </si>
  <si>
    <t>Tyro Payments Ltd</t>
  </si>
  <si>
    <t>TYR</t>
  </si>
  <si>
    <t>United Overseas Australia Ltd</t>
  </si>
  <si>
    <t>UOS</t>
  </si>
  <si>
    <t>Unith Ltd</t>
  </si>
  <si>
    <t>UNT</t>
  </si>
  <si>
    <t>Universal Store Holdings Ltd</t>
  </si>
  <si>
    <t>UNI</t>
  </si>
  <si>
    <t>US Masters Residential Property Fund</t>
  </si>
  <si>
    <t>URF</t>
  </si>
  <si>
    <t>Vaneck 1-3 Month US Treasury Bond ETF</t>
  </si>
  <si>
    <t>TBIL</t>
  </si>
  <si>
    <t>Vaneck Australian Banks ETF</t>
  </si>
  <si>
    <t>MVB</t>
  </si>
  <si>
    <t>Vaneck Australian Corporate Bond Plus ETF</t>
  </si>
  <si>
    <t>PLUS</t>
  </si>
  <si>
    <t>Vaneck Australian EQUAL Weight ETF</t>
  </si>
  <si>
    <t>MVW</t>
  </si>
  <si>
    <t>Vaneck Australian Floating Rate ETF</t>
  </si>
  <si>
    <t>FLOT</t>
  </si>
  <si>
    <t>Vaneck Australian Property ETF</t>
  </si>
  <si>
    <t>MVA</t>
  </si>
  <si>
    <t>Vaneck Australian Resources ETF</t>
  </si>
  <si>
    <t>MVR</t>
  </si>
  <si>
    <t>Vaneck Australian Subordinated Debt ETF</t>
  </si>
  <si>
    <t>SUBD</t>
  </si>
  <si>
    <t>Vaneck Bentham GL Cap Se Active ETF (Managed Fund)</t>
  </si>
  <si>
    <t>GCAP</t>
  </si>
  <si>
    <t>Vaneck China New Economy ETF</t>
  </si>
  <si>
    <t>CNEW</t>
  </si>
  <si>
    <t>Vaneck Emerging Inc Opportunities Active ETF (Managed Fund)</t>
  </si>
  <si>
    <t>EBND</t>
  </si>
  <si>
    <t>Vaneck Ftse China A50 ETF</t>
  </si>
  <si>
    <t>CETF</t>
  </si>
  <si>
    <t>Vaneck Ftse Global Infrastructure (Hedged) ETF</t>
  </si>
  <si>
    <t>IFRA</t>
  </si>
  <si>
    <t>Vaneck Ftse International Property (Hedged) ETF</t>
  </si>
  <si>
    <t>REIT</t>
  </si>
  <si>
    <t>Vaneck Geared Aust. EQUAL Weight Fund (Hedge Fund)</t>
  </si>
  <si>
    <t>GMVW</t>
  </si>
  <si>
    <t>Vaneck GLBL Listed Private Credit (Aud Hedged) ETF</t>
  </si>
  <si>
    <t>LEND</t>
  </si>
  <si>
    <t>Vaneck Global Clean Energy ETF</t>
  </si>
  <si>
    <t>CLNE</t>
  </si>
  <si>
    <t>Vaneck Global Healthcare Leaders ETF</t>
  </si>
  <si>
    <t>HLTH</t>
  </si>
  <si>
    <t>Vaneck Global Listed Private Equity ETF</t>
  </si>
  <si>
    <t>GPEQ</t>
  </si>
  <si>
    <t>Vaneck Gold Bullion ETF</t>
  </si>
  <si>
    <t>NUGG</t>
  </si>
  <si>
    <t>Vaneck Gold Miners ETF</t>
  </si>
  <si>
    <t>GDX</t>
  </si>
  <si>
    <t>VANECK INVESTMENTS LTD AUS GLOBAL DEFENCE ETF</t>
  </si>
  <si>
    <t>DFND</t>
  </si>
  <si>
    <t>VANECK INVESTMENTS LTD AUS VANECK BITCOIN ETF^**</t>
  </si>
  <si>
    <t>VBTC</t>
  </si>
  <si>
    <t>Vaneck Morningstar Australian Moat Income ETF</t>
  </si>
  <si>
    <t>DVDY</t>
  </si>
  <si>
    <t>Vaneck Morningstar Wide Moat (Aud Hedged) ETF</t>
  </si>
  <si>
    <t>MHOT</t>
  </si>
  <si>
    <t>Vaneck Morningstar Wide Moat ETF</t>
  </si>
  <si>
    <t>MOAT</t>
  </si>
  <si>
    <t>Vaneck MSCI Australian Sustainable Equity ETF</t>
  </si>
  <si>
    <t>GRNV</t>
  </si>
  <si>
    <t>Vaneck MSCI International Quality (Hedged) ETF</t>
  </si>
  <si>
    <t>QHAL</t>
  </si>
  <si>
    <t>Vaneck MSCI International Quality ETF</t>
  </si>
  <si>
    <t>QUAL</t>
  </si>
  <si>
    <t>Vaneck MSCI International Sustainable Equity ETF</t>
  </si>
  <si>
    <t>ESGI</t>
  </si>
  <si>
    <t>Vaneck MSCI International Value ETF</t>
  </si>
  <si>
    <t>VLUE</t>
  </si>
  <si>
    <t>Vaneck MSCI Intl Small Companies Quality ETF</t>
  </si>
  <si>
    <t>QSML</t>
  </si>
  <si>
    <t>Vaneck MSCI Intl SML Comp Quality (Aud Hedged) ETF</t>
  </si>
  <si>
    <t>QHSM</t>
  </si>
  <si>
    <t>Vaneck MSCI Multifactor Em Markets Equity ETF</t>
  </si>
  <si>
    <t>EMKT</t>
  </si>
  <si>
    <t>Vaneck S&amp;P/ASX Midcap ETF</t>
  </si>
  <si>
    <t>MVE</t>
  </si>
  <si>
    <t>Vaneck Small Companies Masters ETF</t>
  </si>
  <si>
    <t>MVS</t>
  </si>
  <si>
    <t>Vaneck Video Gaming and Esports ETF</t>
  </si>
  <si>
    <t>ESPO</t>
  </si>
  <si>
    <t>Vanguard All-World Ex-US Shares INDEX ETF</t>
  </si>
  <si>
    <t>VEU</t>
  </si>
  <si>
    <t>Vanguard Australian Corp Fixed Interest INDEX ETF</t>
  </si>
  <si>
    <t>VACF</t>
  </si>
  <si>
    <t>Vanguard Australian Fixed Interest INDEX ETF</t>
  </si>
  <si>
    <t>VAF</t>
  </si>
  <si>
    <t>Vanguard Australian Government Bond INDEX ETF</t>
  </si>
  <si>
    <t>VGB</t>
  </si>
  <si>
    <t>Vanguard Australian Property Securities INDEX ETF</t>
  </si>
  <si>
    <t>VAP</t>
  </si>
  <si>
    <t>Vanguard Australian Shares High Yield ETF</t>
  </si>
  <si>
    <t>VHY</t>
  </si>
  <si>
    <t>Vanguard Australian Shares INDEX ETF</t>
  </si>
  <si>
    <t>VAS</t>
  </si>
  <si>
    <t>Vanguard Diversified Balanced INDEX ETF</t>
  </si>
  <si>
    <t>VDBA</t>
  </si>
  <si>
    <t>Vanguard Diversified Conservative INDEX ETF</t>
  </si>
  <si>
    <t>VDCO</t>
  </si>
  <si>
    <t>Vanguard Diversified Growth INDEX ETF</t>
  </si>
  <si>
    <t>VDGR</t>
  </si>
  <si>
    <t>Vanguard Diversified High Growth INDEX ETF</t>
  </si>
  <si>
    <t>VDHG</t>
  </si>
  <si>
    <t>Vanguard Ethically Conscious Australian Shares ETF</t>
  </si>
  <si>
    <t>VETH</t>
  </si>
  <si>
    <t>Vanguard Ethically Conscious GLB Agg Bond INDEX (Hedged) ETF</t>
  </si>
  <si>
    <t>VEFI</t>
  </si>
  <si>
    <t>Vanguard Ethically Conscious International Shares INDEX ETF</t>
  </si>
  <si>
    <t>VESG</t>
  </si>
  <si>
    <t>Vanguard Ftse Asia Ex Japan Shares INDEX ETF</t>
  </si>
  <si>
    <t>VAE</t>
  </si>
  <si>
    <t>Vanguard Ftse Emerging Markets Shares ETF</t>
  </si>
  <si>
    <t>VGE</t>
  </si>
  <si>
    <t>Vanguard Ftse Europe Shares ETF</t>
  </si>
  <si>
    <t>VEQ</t>
  </si>
  <si>
    <t>Vanguard Global Aggregate Bond INDEX (Hedged) ETF</t>
  </si>
  <si>
    <t>VBND</t>
  </si>
  <si>
    <t>Vanguard Global Infrastructure INDEX ETF</t>
  </si>
  <si>
    <t>VBLD</t>
  </si>
  <si>
    <t>Vanguard Global Value Equity Active ETF</t>
  </si>
  <si>
    <t>VVLU</t>
  </si>
  <si>
    <t>Vanguard International Credit Securities INDEX (Hedged) ETF</t>
  </si>
  <si>
    <t>VCF</t>
  </si>
  <si>
    <t>Vanguard International Fixed Interest INDEX (Hedged) ETF</t>
  </si>
  <si>
    <t>VIF</t>
  </si>
  <si>
    <t>Vanguard MSCI Australian Large Companies INDEX ETF</t>
  </si>
  <si>
    <t>VLC</t>
  </si>
  <si>
    <t>Vanguard MSCI Australian Small Companies INDEX ETF</t>
  </si>
  <si>
    <t>VSO</t>
  </si>
  <si>
    <t>Vanguard MSCI INDEX International Shares (Hedged) ETF</t>
  </si>
  <si>
    <t>VGAD</t>
  </si>
  <si>
    <t>Vanguard MSCI INDEX International Shares ETF</t>
  </si>
  <si>
    <t>VGS</t>
  </si>
  <si>
    <t>Vanguard MSCI International Small Companies INDEX ETF</t>
  </si>
  <si>
    <t>VISM</t>
  </si>
  <si>
    <t>Vanguard US Total Market Shares INDEX ETF</t>
  </si>
  <si>
    <t>VTS</t>
  </si>
  <si>
    <t>VAULT MINERALS LIMITED NPV</t>
  </si>
  <si>
    <t>VAU</t>
  </si>
  <si>
    <t>Vectus Biosystems Ltd</t>
  </si>
  <si>
    <t>VBS</t>
  </si>
  <si>
    <t>Veem Ltd</t>
  </si>
  <si>
    <t>VEE</t>
  </si>
  <si>
    <t>Ventia Services Group Ltd</t>
  </si>
  <si>
    <t>VNT</t>
  </si>
  <si>
    <t>Veris Ltd</t>
  </si>
  <si>
    <t>VRS</t>
  </si>
  <si>
    <t>Vgi Partners Global Investments Ltd</t>
  </si>
  <si>
    <t>VG1</t>
  </si>
  <si>
    <t>VHM Ltd</t>
  </si>
  <si>
    <t>VHM</t>
  </si>
  <si>
    <t>Vicinity Centres</t>
  </si>
  <si>
    <t>VCX</t>
  </si>
  <si>
    <t>VIRGIN AUSTRALIA HOLDINGS LTD NPV</t>
  </si>
  <si>
    <t>VGN</t>
  </si>
  <si>
    <t>Visionflex Group Ltd</t>
  </si>
  <si>
    <t>VFX</t>
  </si>
  <si>
    <t>Vista Group International Ltd</t>
  </si>
  <si>
    <t>VGL</t>
  </si>
  <si>
    <t>Vital Metals Ltd</t>
  </si>
  <si>
    <t>VML</t>
  </si>
  <si>
    <t>Vitura Health Ltd</t>
  </si>
  <si>
    <t>VIT</t>
  </si>
  <si>
    <t>Viva Energy Group Ltd</t>
  </si>
  <si>
    <t>VEA</t>
  </si>
  <si>
    <t>Volt Resources Ltd</t>
  </si>
  <si>
    <t>VRC</t>
  </si>
  <si>
    <t>VRX Silica Ltd</t>
  </si>
  <si>
    <t>VRX</t>
  </si>
  <si>
    <t>Vulcan Energy Resources Ltd</t>
  </si>
  <si>
    <t>VUL</t>
  </si>
  <si>
    <t>Vulcan Steel Ltd</t>
  </si>
  <si>
    <t>VSL</t>
  </si>
  <si>
    <t>Vysarn Ltd</t>
  </si>
  <si>
    <t>VYS</t>
  </si>
  <si>
    <t>Wa Kaolin Ltd</t>
  </si>
  <si>
    <t>WAK</t>
  </si>
  <si>
    <t>WA1 Resources Ltd</t>
  </si>
  <si>
    <t>WA1</t>
  </si>
  <si>
    <t>Wagners Holding Company Ltd</t>
  </si>
  <si>
    <t>WGN</t>
  </si>
  <si>
    <t>Wam Active Ltd</t>
  </si>
  <si>
    <t>WAA</t>
  </si>
  <si>
    <t>Wam Alternative Assets Ltd</t>
  </si>
  <si>
    <t>WMA</t>
  </si>
  <si>
    <t>WAM Capital Ltd</t>
  </si>
  <si>
    <t>WAM</t>
  </si>
  <si>
    <t>WAM Global Ltd</t>
  </si>
  <si>
    <t>WGB</t>
  </si>
  <si>
    <t>Wam Leaders Ltd</t>
  </si>
  <si>
    <t>WLE</t>
  </si>
  <si>
    <t>Wam Microcap Ltd</t>
  </si>
  <si>
    <t>WMI</t>
  </si>
  <si>
    <t>Wam Research Ltd</t>
  </si>
  <si>
    <t>WAX</t>
  </si>
  <si>
    <t>Wam Strategic Value Ltd</t>
  </si>
  <si>
    <t>WAR</t>
  </si>
  <si>
    <t>Waratah Minerals Ltd</t>
  </si>
  <si>
    <t>WTM</t>
  </si>
  <si>
    <t>Washington H Soul Pattinson &amp; Company Ltd</t>
  </si>
  <si>
    <t>SOL</t>
  </si>
  <si>
    <t>Waterco Ltd</t>
  </si>
  <si>
    <t>WAT</t>
  </si>
  <si>
    <t>Waypoint REIT</t>
  </si>
  <si>
    <t>WPR</t>
  </si>
  <si>
    <t>WCM Global Growth Ltd</t>
  </si>
  <si>
    <t>WQG</t>
  </si>
  <si>
    <t>WCM Quality Global Growth Fund (Quoted Managed Fund)</t>
  </si>
  <si>
    <t>WCMQ</t>
  </si>
  <si>
    <t>WEB TRAVEL GROUP LTD NPV</t>
  </si>
  <si>
    <t>WEB</t>
  </si>
  <si>
    <t>WEBJET GROUP LTD NPV</t>
  </si>
  <si>
    <t>WJL</t>
  </si>
  <si>
    <t>Weebit Nano Ltd</t>
  </si>
  <si>
    <t>WBT</t>
  </si>
  <si>
    <t>Wellard Ltd</t>
  </si>
  <si>
    <t>WLD</t>
  </si>
  <si>
    <t>Wellnex Life Ltd</t>
  </si>
  <si>
    <t>WNX</t>
  </si>
  <si>
    <t>Wesfarmers Ltd</t>
  </si>
  <si>
    <t>WES</t>
  </si>
  <si>
    <t>West African Resources Ltd</t>
  </si>
  <si>
    <t>WAF</t>
  </si>
  <si>
    <t>Westgold Resources Ltd</t>
  </si>
  <si>
    <t>WGX</t>
  </si>
  <si>
    <t>WESTPAC BANK FRN CNV PERP AUD1000 'REGS'</t>
  </si>
  <si>
    <t>WBCPJ</t>
  </si>
  <si>
    <t>Westpac Banking Corporation</t>
  </si>
  <si>
    <t>WBC</t>
  </si>
  <si>
    <t xml:space="preserve">WESTPAC BKG CORP 3.10% PERP NON CUM RED </t>
  </si>
  <si>
    <t>WBCPM</t>
  </si>
  <si>
    <t>Westpac Capital Notes 5</t>
  </si>
  <si>
    <t>WBCPH</t>
  </si>
  <si>
    <t>Westpac Capital Notes 8</t>
  </si>
  <si>
    <t>WBCPK</t>
  </si>
  <si>
    <t>Westpac Capital Notes 9</t>
  </si>
  <si>
    <t>WBCPL</t>
  </si>
  <si>
    <t>WHITEFIELD INCOME LIMITED NPV</t>
  </si>
  <si>
    <t>WHI</t>
  </si>
  <si>
    <t>Whitefield Industrials Ltd</t>
  </si>
  <si>
    <t>WHF</t>
  </si>
  <si>
    <t>Whitehaven Coal Ltd</t>
  </si>
  <si>
    <t>WHC</t>
  </si>
  <si>
    <t>WIA Gold Ltd</t>
  </si>
  <si>
    <t>WIA</t>
  </si>
  <si>
    <t>Widgie Nickel Ltd</t>
  </si>
  <si>
    <t>WIN</t>
  </si>
  <si>
    <t>Wildcat Resources Ltd</t>
  </si>
  <si>
    <t>WC8</t>
  </si>
  <si>
    <t>Winsome Resources Ltd</t>
  </si>
  <si>
    <t>WR1</t>
  </si>
  <si>
    <t>Wisetech Global Ltd</t>
  </si>
  <si>
    <t>WTC</t>
  </si>
  <si>
    <t>Wisr Ltd</t>
  </si>
  <si>
    <t>WZR</t>
  </si>
  <si>
    <t>Woodside Energy Group Ltd</t>
  </si>
  <si>
    <t>WDS</t>
  </si>
  <si>
    <t>Woolworths Group Ltd</t>
  </si>
  <si>
    <t>WOW</t>
  </si>
  <si>
    <t>Worley Ltd</t>
  </si>
  <si>
    <t>WOR</t>
  </si>
  <si>
    <t>Wotso Property</t>
  </si>
  <si>
    <t>WOT</t>
  </si>
  <si>
    <t>Xero Ltd</t>
  </si>
  <si>
    <t>XRO</t>
  </si>
  <si>
    <t>XRF Scientific Ltd</t>
  </si>
  <si>
    <t>XRF</t>
  </si>
  <si>
    <t>Yancoal Australia Ltd</t>
  </si>
  <si>
    <t>YAL</t>
  </si>
  <si>
    <t>Yojee Ltd</t>
  </si>
  <si>
    <t>YOJ</t>
  </si>
  <si>
    <t>Zelira Therapeutics Ltd</t>
  </si>
  <si>
    <t>ZLD</t>
  </si>
  <si>
    <t>Zimplats Holdings Ltd</t>
  </si>
  <si>
    <t>ZIM</t>
  </si>
  <si>
    <t>ZIP Co Ltd</t>
  </si>
  <si>
    <t>ZIP</t>
  </si>
  <si>
    <t>Listed Australian Securities</t>
  </si>
  <si>
    <t>Diversification Guideline 100%</t>
  </si>
  <si>
    <t>A maximum holding of 20% of the value of the member account in any single security within the S&amp;P/ASX300 Index.</t>
  </si>
  <si>
    <t>A maximum holding of 5% of the value of the member account in any Trustee approved security outside the S&amp;P/ASX300 Index.</t>
  </si>
  <si>
    <t>Listed Interest Rate Securities</t>
  </si>
  <si>
    <t>** TMD - Target Market Determination. If the 'TMD Document' column is not populated, then this investment is not a financial product that must comply with the design and distribution obligations in Pt 7.8A of the Corporations Act 2001 (Cth) and no TMD is required.
Some investments have distribution conditions/restrictions listed in their TMD which limit initial purchase to only being available to advised investors. Distribution conditions are not applicable if the investment is currently held.
The target market information is provided by the Issuer via a third party. AIL and CFSIL do not guarantee the accuracy and no responsibility arising in any way for errors or omissions is accepted. For the most up to date information please refer to Issuer's TMD.</t>
  </si>
  <si>
    <t>***  Investments traded via the CHI-X/CBOE exchange</t>
  </si>
  <si>
    <t>^** Given the inherent risks associated with cryptocurrency, you will not be able to acquire more than $50,000 and/or sell more than $100,000 in this ETF within a single trade. 
We’ll also restrict any further orders once a cumulative daily value of $1M has been reached for all investor trades received for CFS Edge in a single day. 
We reserve the right to cancel any trade in cryptocurrency if deemed appropriate.</t>
  </si>
  <si>
    <t>© 2022 Morningstar, Inc. All rights reserved. Neither Morningstar, its affiliates, nor the content providers guarantee the data or content contained herein to be accurate, complete or timely nor will they have any liability for its use or distribution. Any general advice or ‘regulated financial advice’ under New Zealand law has been prepared by Morningstar Australasia Pty Ltd (ABN: 95 090 665 544, AFSL: 240892) and/or Morningstar Research Ltd, subsidiaries of Morningstar, Inc., without reference to your objectives, financial situation or needs. For more information refer to our Financial Services Guide (AU) and Financial Advice Provider Disclosure Statement (NZ) at www.morningstar.com.au/s/fsg.pdf and www.morningstar.com.au/mca/s/fapds.pdf. You should consider the advice in light of these matters and if applicable, the relevant Product Disclosure Statement before making any decision to invest. Our publications, ratings and products should be viewed as an additional investment resource, not as your sole source of information. Morningstar’s full research reports are the source of any Morningstar Ratings and are available from Morningstar or your adviser. Past performance does not necessarily indicate a financial product’s future performance. To obtain advice tailored to your situation, contact a professional financial adviser. Some material is copyright and published under licence from ASX Operations Pty Ltd ACN 004 523 782.</t>
  </si>
  <si>
    <t>Security Name</t>
  </si>
  <si>
    <t>Security Code</t>
  </si>
  <si>
    <t>Exchange</t>
  </si>
  <si>
    <t>International Listed Securities - General</t>
  </si>
  <si>
    <t>10X GENOMICS INC COM USD0.00001 CLASS A</t>
  </si>
  <si>
    <t>TXG</t>
  </si>
  <si>
    <t>XNAS</t>
  </si>
  <si>
    <t>3I GROUP ORD GBP0.738636</t>
  </si>
  <si>
    <t>III</t>
  </si>
  <si>
    <t>XLON</t>
  </si>
  <si>
    <t>3M COMPANY COM USD0.01</t>
  </si>
  <si>
    <t>MMM</t>
  </si>
  <si>
    <t>XNYS</t>
  </si>
  <si>
    <t>A.P. MOLLER - MAERSK SER'A'DKK1000</t>
  </si>
  <si>
    <t>MAERSK A</t>
  </si>
  <si>
    <t>XCSE</t>
  </si>
  <si>
    <t>A.P. MOLLER - MAERSK SER'B'DKK1000</t>
  </si>
  <si>
    <t>MAERSK B</t>
  </si>
  <si>
    <t>A2A SPA EUR0.52</t>
  </si>
  <si>
    <t>A2A</t>
  </si>
  <si>
    <t>XMIL</t>
  </si>
  <si>
    <t>ABB LTD CHF0.12 (REGD)</t>
  </si>
  <si>
    <t>ABBN</t>
  </si>
  <si>
    <t>XSWX</t>
  </si>
  <si>
    <t>XSTO</t>
  </si>
  <si>
    <t>ABBOTT LABORATORIES COM NPV</t>
  </si>
  <si>
    <t>ABT</t>
  </si>
  <si>
    <t>ABBVIE INC COM USD0.01</t>
  </si>
  <si>
    <t>ABBV</t>
  </si>
  <si>
    <t>ABERDEEN GROUP PLC ORD GBP0.1396825396</t>
  </si>
  <si>
    <t>ABDN</t>
  </si>
  <si>
    <t>ABN AMRO BANK N.V. DR EACH REP SHS</t>
  </si>
  <si>
    <t>ABN</t>
  </si>
  <si>
    <t>XAMS</t>
  </si>
  <si>
    <t>ACCENTURE PLC CLS'A'USD0.0000225</t>
  </si>
  <si>
    <t>ACN</t>
  </si>
  <si>
    <t>ACCOR SA EUR3</t>
  </si>
  <si>
    <t>AC</t>
  </si>
  <si>
    <t>XPAR</t>
  </si>
  <si>
    <t>ACKERMANS NPV</t>
  </si>
  <si>
    <t>ACKB</t>
  </si>
  <si>
    <t>XBRU</t>
  </si>
  <si>
    <t>ADIDAS AG NPV (REGD)</t>
  </si>
  <si>
    <t>XFRA</t>
  </si>
  <si>
    <t>ADMIRAL GROUP ORD GBP0.001</t>
  </si>
  <si>
    <t>ADM</t>
  </si>
  <si>
    <t>ADOBE INC COM USD0.0001</t>
  </si>
  <si>
    <t>ADBE</t>
  </si>
  <si>
    <t>ADVANCED MICRO DEVICES INC COM STK USD0.01</t>
  </si>
  <si>
    <t>AMD</t>
  </si>
  <si>
    <t>ADYEN NV EUR0.01</t>
  </si>
  <si>
    <t>ADYEN</t>
  </si>
  <si>
    <t>AEDIFICA NPV</t>
  </si>
  <si>
    <t>AED</t>
  </si>
  <si>
    <t>AEGON LIMITED EUR0.12</t>
  </si>
  <si>
    <t>AGN</t>
  </si>
  <si>
    <t>AELUMA INC COM USD0.0001</t>
  </si>
  <si>
    <t>ALMU</t>
  </si>
  <si>
    <t>AENA SME S.A. EUR10</t>
  </si>
  <si>
    <t>AENA</t>
  </si>
  <si>
    <t>XMAD</t>
  </si>
  <si>
    <t>AEROPORTS DE PARIS EUR3</t>
  </si>
  <si>
    <t>ADP</t>
  </si>
  <si>
    <t>AGEAS NPV</t>
  </si>
  <si>
    <t>AGS</t>
  </si>
  <si>
    <t>AGILENT TECHNOLOGIES INC COM USD0.01</t>
  </si>
  <si>
    <t>A</t>
  </si>
  <si>
    <t>AGNICO EAGLE MINES LTD COM NPV</t>
  </si>
  <si>
    <t>AEM</t>
  </si>
  <si>
    <t>XTSE</t>
  </si>
  <si>
    <t>AIA GROUP LIMITED NPV</t>
  </si>
  <si>
    <t>XHKG</t>
  </si>
  <si>
    <t>AIR LIQUIDE(L') EUR5.50</t>
  </si>
  <si>
    <t>AI</t>
  </si>
  <si>
    <t>AIRBNB INC COM USD0.0001 CL A</t>
  </si>
  <si>
    <t>ABNB</t>
  </si>
  <si>
    <t>AIRBUS SE EUR1</t>
  </si>
  <si>
    <t>AIR</t>
  </si>
  <si>
    <t>AIRTEL AFRICA PLC ORD USD0.5</t>
  </si>
  <si>
    <t>AAF</t>
  </si>
  <si>
    <t>AKZO NOBEL NV EUR0.50(POST REV SPLIT)</t>
  </si>
  <si>
    <t>AKZA</t>
  </si>
  <si>
    <t>ALBEMARLE CORP COM USD0.01</t>
  </si>
  <si>
    <t>ALB</t>
  </si>
  <si>
    <t>ALCOA CORPORATION COM USD0.01</t>
  </si>
  <si>
    <t>AA</t>
  </si>
  <si>
    <t>ALCON AG CHF0.04</t>
  </si>
  <si>
    <t>ALFA LAVAL AB NPV</t>
  </si>
  <si>
    <t>ALFA</t>
  </si>
  <si>
    <t>ALGONQUIN POWER &amp; UTILITIES CORP COM NPV</t>
  </si>
  <si>
    <t>AQN</t>
  </si>
  <si>
    <t>ALIBABA GROUP HOLDING LTD SPON ADS EACH REP 8 ORD SHS</t>
  </si>
  <si>
    <t>BABA</t>
  </si>
  <si>
    <t>ALIBABA GROUP HOLDING LTD USD0.000003125</t>
  </si>
  <si>
    <t>ALIBABA HEALTH INFORMATION TECH LTD HKD0.01</t>
  </si>
  <si>
    <t>ALIGN TECHNOLOGY INC COM USD0.0001</t>
  </si>
  <si>
    <t>ALGN</t>
  </si>
  <si>
    <t>ALIMENTATION COUCHE-TARD COM NPV</t>
  </si>
  <si>
    <t>ATD</t>
  </si>
  <si>
    <t>ALLIANZ SE NPV(REGD)(VINKULIERT)</t>
  </si>
  <si>
    <t>ALV</t>
  </si>
  <si>
    <t>ALLSTATE CORP COM USD0.01</t>
  </si>
  <si>
    <t>ALPHABET INC CAP USD0.001 CL C</t>
  </si>
  <si>
    <t>GOOG</t>
  </si>
  <si>
    <t>ALPHABET INC CAPITAL STOCK USD0.001 CL A</t>
  </si>
  <si>
    <t>GOOGL</t>
  </si>
  <si>
    <t>ALSTOM EUR7.00</t>
  </si>
  <si>
    <t>ALO</t>
  </si>
  <si>
    <t>ALTRI SGPS S.A. EUR0.125</t>
  </si>
  <si>
    <t>ALTR</t>
  </si>
  <si>
    <t>XLIS</t>
  </si>
  <si>
    <t>ALTRIA GROUP INC COM USD0.333333</t>
  </si>
  <si>
    <t>MO</t>
  </si>
  <si>
    <t>AMADEUS IT GROUP SA EUR0.01</t>
  </si>
  <si>
    <t>AMAZON COM INC COM USD0.01</t>
  </si>
  <si>
    <t>AMZN</t>
  </si>
  <si>
    <t>AMBU A/S SER'B'DKK0.50</t>
  </si>
  <si>
    <t>AMBU B</t>
  </si>
  <si>
    <t>AMERICAN ELECTRIC POWER CO INC COM USD6.50</t>
  </si>
  <si>
    <t>AEP</t>
  </si>
  <si>
    <t>AMERICAN EXPRESS CO COM USD0.20</t>
  </si>
  <si>
    <t>AMERICAN HEALTHCARE REIT INC COM USD0.01</t>
  </si>
  <si>
    <t>AHR</t>
  </si>
  <si>
    <t>AMERICAN INTERNATIONAL GROUP INC COM USD2.50</t>
  </si>
  <si>
    <t>AIG</t>
  </si>
  <si>
    <t>AMERICAN TOWER CORP COM USD0.01</t>
  </si>
  <si>
    <t>AMT</t>
  </si>
  <si>
    <t>AMERICOLD REALTY TRUST INC COM USD0.01</t>
  </si>
  <si>
    <t>COLD</t>
  </si>
  <si>
    <t>AMGEN INC COM USD0.0001</t>
  </si>
  <si>
    <t>AMGN</t>
  </si>
  <si>
    <t>AMPHENOL CORP CLASS'A'COM USD0.001</t>
  </si>
  <si>
    <t>APH</t>
  </si>
  <si>
    <t>AMPLIFON EUR0.02</t>
  </si>
  <si>
    <t>AMS-OSRAM AG NPV (POST REV SPLIT)</t>
  </si>
  <si>
    <t>ANALOG DEVICES INC COM USD0.16 2/3</t>
  </si>
  <si>
    <t>ADI</t>
  </si>
  <si>
    <t>ANGLO AMERICAN ORD USD0.623855311355311</t>
  </si>
  <si>
    <t>AAL</t>
  </si>
  <si>
    <t>ANHEUSER-BUSCH INBEV SA/NV NPV</t>
  </si>
  <si>
    <t>ABI</t>
  </si>
  <si>
    <t>ANTA SPORTS PRODUCTS HKD0.10</t>
  </si>
  <si>
    <t>ANTERO RESOURCES CORPORATION USD0.01</t>
  </si>
  <si>
    <t>AR</t>
  </si>
  <si>
    <t>ANTOFAGASTA PLC ORD GBP0.05</t>
  </si>
  <si>
    <t>ANTO</t>
  </si>
  <si>
    <t>APERAM SA NPV</t>
  </si>
  <si>
    <t>APAM</t>
  </si>
  <si>
    <t>APOLLO GLOBAL MANAGEMENT INC COM USD0.00001</t>
  </si>
  <si>
    <t>APO</t>
  </si>
  <si>
    <t>APPLE INC COM USD0.00001</t>
  </si>
  <si>
    <t>AAPL</t>
  </si>
  <si>
    <t>APPLIED MATERIALS INC COM USD0.01</t>
  </si>
  <si>
    <t>AMAT</t>
  </si>
  <si>
    <t>APPLOVIN CORP COM USD0.00003 CL A</t>
  </si>
  <si>
    <t>APP</t>
  </si>
  <si>
    <t>APTIV PLC ORD USD0.01</t>
  </si>
  <si>
    <t>APTV</t>
  </si>
  <si>
    <t>ARBOR REALTY TRUST INC COM USD0.01</t>
  </si>
  <si>
    <t>ABR</t>
  </si>
  <si>
    <t>ARCELORMITTAL NPV</t>
  </si>
  <si>
    <t>MT</t>
  </si>
  <si>
    <t>ARCHER AVIATION INC COM USD0.0001 CL A</t>
  </si>
  <si>
    <t>ACHR</t>
  </si>
  <si>
    <t>ARES MANAGEMENT CORPORATION COM USD0.01 CLASS A</t>
  </si>
  <si>
    <t>ARES</t>
  </si>
  <si>
    <t>ARGENX SE EUR0.10</t>
  </si>
  <si>
    <t>ARGX</t>
  </si>
  <si>
    <t>ARISTA NETWORKS INC COM USD0.0001 (PST REV SPT)</t>
  </si>
  <si>
    <t>ANET</t>
  </si>
  <si>
    <t>ARK ETF TRUST INNOVATION ETF</t>
  </si>
  <si>
    <t>ARKK</t>
  </si>
  <si>
    <t>ASHTEAD GROUP ORD GBP0.10</t>
  </si>
  <si>
    <t>AHT</t>
  </si>
  <si>
    <t>ASM INTERNATIONAL NV EUR0.04</t>
  </si>
  <si>
    <t>ASML HOLDING NV EUR0.09</t>
  </si>
  <si>
    <t>ASML</t>
  </si>
  <si>
    <t>ASML HOLDING NV EUR0.09 NY REGISTRY SHS 2012</t>
  </si>
  <si>
    <t>ASR NEDERLAND NV EUR0.16</t>
  </si>
  <si>
    <t>ASRNL</t>
  </si>
  <si>
    <t>ASSA ABLOY SER'B'NPV</t>
  </si>
  <si>
    <t>ASSA B</t>
  </si>
  <si>
    <t>ASSOCIATED BRITISH FOODS PLC ORD 5 15/22P</t>
  </si>
  <si>
    <t>ABF</t>
  </si>
  <si>
    <t>ASTRAZENECA PLC ORD USD0.25</t>
  </si>
  <si>
    <t>AZN</t>
  </si>
  <si>
    <t>ASTRAZENECA PLC SPON ADR EACH REP 0.50 ORD SHS</t>
  </si>
  <si>
    <t>AT&amp;T INC COM USD1</t>
  </si>
  <si>
    <t>T</t>
  </si>
  <si>
    <t>ATLAS COPCO AB SER'A'NPV</t>
  </si>
  <si>
    <t>ATCO A</t>
  </si>
  <si>
    <t>ATLAS COPCO AB SER'B'NPV</t>
  </si>
  <si>
    <t>ATCO B</t>
  </si>
  <si>
    <t>ATLASSIAN CORP COM USD0.1 CL A</t>
  </si>
  <si>
    <t>TEAM</t>
  </si>
  <si>
    <t>AUTO TRADER GROUP PLC ORD GBP0.01</t>
  </si>
  <si>
    <t>AUTO</t>
  </si>
  <si>
    <t>AUTODESK INC COM USD0.01</t>
  </si>
  <si>
    <t>ADSK</t>
  </si>
  <si>
    <t>AUTOLIV INC SDR USD1</t>
  </si>
  <si>
    <t>ALIV SDB</t>
  </si>
  <si>
    <t>AUTOMATIC DATA PROCESSING INC COM USD0.10</t>
  </si>
  <si>
    <t>AVIVA ORD GBP0.328947368</t>
  </si>
  <si>
    <t>AV.</t>
  </si>
  <si>
    <t>AXA SA EUR2.29</t>
  </si>
  <si>
    <t>CS</t>
  </si>
  <si>
    <t>AZIMUT HLDG S.P.A NPV</t>
  </si>
  <si>
    <t>AZM</t>
  </si>
  <si>
    <t>B &amp; M EUROPEAN VALUE RETAIL SA ORD GBP0.1 (DI)</t>
  </si>
  <si>
    <t>BME</t>
  </si>
  <si>
    <t>BAE SYSTEMS ORD GBP0.025</t>
  </si>
  <si>
    <t>BA.</t>
  </si>
  <si>
    <t>BAKER HUGHES COMPANY COM USD0.0001 CL A</t>
  </si>
  <si>
    <t>BKR</t>
  </si>
  <si>
    <t>BANCA GENERALI EUR1</t>
  </si>
  <si>
    <t>BGN</t>
  </si>
  <si>
    <t>BANCA MEDIOLANUM NPV</t>
  </si>
  <si>
    <t>BMED</t>
  </si>
  <si>
    <t>BANCA MONTE DEI PASCHI DI SIENA NPV (POST SPLT)</t>
  </si>
  <si>
    <t>BMPS</t>
  </si>
  <si>
    <t>BANCO BPM SPA NPV</t>
  </si>
  <si>
    <t>BAMI</t>
  </si>
  <si>
    <t>BANCO COMERCIAL PORTUGUES S.A. NPV</t>
  </si>
  <si>
    <t>BCP</t>
  </si>
  <si>
    <t>BANK OF AMERICA CORPORATION COM USD0.01</t>
  </si>
  <si>
    <t>BAC</t>
  </si>
  <si>
    <t>BANK OF CHINA LTD 'H'CNY1</t>
  </si>
  <si>
    <t>BANK OF MONTREAL COM NPV</t>
  </si>
  <si>
    <t>BMO</t>
  </si>
  <si>
    <t>BANK OF NEW YORK MELLON CORP COM USD0.01</t>
  </si>
  <si>
    <t>BK</t>
  </si>
  <si>
    <t>BANK OF NOVA SCOTIA COM NPV</t>
  </si>
  <si>
    <t>BNS</t>
  </si>
  <si>
    <t>BARCLAYS PLC ORD GBP0.25</t>
  </si>
  <si>
    <t>BARC</t>
  </si>
  <si>
    <t>BARCO NV NPV</t>
  </si>
  <si>
    <t>BAR</t>
  </si>
  <si>
    <t>BARRICK MINING CORPORATION COM NPV</t>
  </si>
  <si>
    <t>B</t>
  </si>
  <si>
    <t>BASF SE NPV</t>
  </si>
  <si>
    <t>BAS</t>
  </si>
  <si>
    <t>BAVARIAN NORDIC DKK10</t>
  </si>
  <si>
    <t>BAVA</t>
  </si>
  <si>
    <t>BAXTER INTERNATIONAL INC COM USD1.00</t>
  </si>
  <si>
    <t>BAX</t>
  </si>
  <si>
    <t>BAYER AG NPV (REGD)</t>
  </si>
  <si>
    <t>BAYN</t>
  </si>
  <si>
    <t>BAYERISCHE MOTOREN WERKE AG EUR1</t>
  </si>
  <si>
    <t>BMW</t>
  </si>
  <si>
    <t>BCE INC COM NPV</t>
  </si>
  <si>
    <t>BCE</t>
  </si>
  <si>
    <t>BE SEMICONDUCTOR INDUSTRIES NV EUR0.01</t>
  </si>
  <si>
    <t>BESI</t>
  </si>
  <si>
    <t>BEAM THERAPEUTICS INC COM USD0.01</t>
  </si>
  <si>
    <t>BEAM</t>
  </si>
  <si>
    <t>BEAZLEY PLC (UK) ORD GBP0.05</t>
  </si>
  <si>
    <t>BEZ</t>
  </si>
  <si>
    <t>BEIERSDORF AG NPV</t>
  </si>
  <si>
    <t>BEI</t>
  </si>
  <si>
    <t>BERKELEY GROUP HLDGS ORD GBP0.05611047</t>
  </si>
  <si>
    <t>BKG</t>
  </si>
  <si>
    <t>BERKSHIRE HATHAWAY INC CLASS'A'USD5</t>
  </si>
  <si>
    <t>BRK.A</t>
  </si>
  <si>
    <t>BERKSHIRE HATHAWAY INC COM USD0.0033 CLASS'B'</t>
  </si>
  <si>
    <t>BRK.B</t>
  </si>
  <si>
    <t>BIOGEN INC COM USD0.0005</t>
  </si>
  <si>
    <t>BIIB</t>
  </si>
  <si>
    <t>BLACKROCK ASSET MGMT NORTH ASIA LTD ISHARES CORE MSCI ASIA EX JAPAN ETF</t>
  </si>
  <si>
    <t>BLACKROCK INC COM USD0.01</t>
  </si>
  <si>
    <t>BLK</t>
  </si>
  <si>
    <t>BLACKROCK JAPAN CO LTD ISHARES CORE TOPIX ETF</t>
  </si>
  <si>
    <t>XTKS</t>
  </si>
  <si>
    <t>BLOCK INC COM USD0.0000001 CL A</t>
  </si>
  <si>
    <t>BNP PARIBAS EUR2</t>
  </si>
  <si>
    <t>BNP</t>
  </si>
  <si>
    <t>BOC HONG KONG(HLDGS) LTD NPV</t>
  </si>
  <si>
    <t>BOEING CO COM USD5.00</t>
  </si>
  <si>
    <t>BA</t>
  </si>
  <si>
    <t>BOLIDEN AB NPV</t>
  </si>
  <si>
    <t>BOOKING HOLDINGS INC COM USD0.008</t>
  </si>
  <si>
    <t>BKNG</t>
  </si>
  <si>
    <t>BOOZ ALLEN HAMILTON HLDG CORP COM USD0.01 CLASS 'A'</t>
  </si>
  <si>
    <t>BAH</t>
  </si>
  <si>
    <t>BOSTON SCIENTIFIC CORP COM USD0.01</t>
  </si>
  <si>
    <t>BOUYGUES EUR1</t>
  </si>
  <si>
    <t>EN</t>
  </si>
  <si>
    <t>BP ORD USD0.25</t>
  </si>
  <si>
    <t>BP.</t>
  </si>
  <si>
    <t>BPER BANCA SPA NPV</t>
  </si>
  <si>
    <t>BPE</t>
  </si>
  <si>
    <t>BRENNTAG SE NPV</t>
  </si>
  <si>
    <t>BNR</t>
  </si>
  <si>
    <t>BRIGHTSTAR LOTTERY PLC ORD USD0.1</t>
  </si>
  <si>
    <t>BRSL</t>
  </si>
  <si>
    <t>BRISTOL-MYERS SQUIBB CO COM USD0.10</t>
  </si>
  <si>
    <t>BMY</t>
  </si>
  <si>
    <t>BRITISH AMERICAN TOBACCO ORD GBP0.25</t>
  </si>
  <si>
    <t>BATS</t>
  </si>
  <si>
    <t>BRITISH LAND CO PLC ORD GBP0.25</t>
  </si>
  <si>
    <t>BLND</t>
  </si>
  <si>
    <t>BRIXMOR PROPERTY GROUP INC COM USD0.01</t>
  </si>
  <si>
    <t>BRX</t>
  </si>
  <si>
    <t>BROADCOM INC COM USD0.001</t>
  </si>
  <si>
    <t>AVGO</t>
  </si>
  <si>
    <t>BROOKFIELD ASSET MANAGEMENT LTD CLASS A LTD VOTING SHS</t>
  </si>
  <si>
    <t>BAM</t>
  </si>
  <si>
    <t>BROOKFIELD RENEWABLE CORP CL A EXCHANGEABLE SUB VOTING SHS</t>
  </si>
  <si>
    <t>BEPC</t>
  </si>
  <si>
    <t>BT GROUP ORD GBP0.05</t>
  </si>
  <si>
    <t>BT.A</t>
  </si>
  <si>
    <t>BUDWEISER BREWING COMPANY APAC LTD USD0.00001</t>
  </si>
  <si>
    <t>BUNZL ORD GBP0.32142857</t>
  </si>
  <si>
    <t>BNZL</t>
  </si>
  <si>
    <t>BURBERRY GROUP ORD GBP0.0005</t>
  </si>
  <si>
    <t>BRBY</t>
  </si>
  <si>
    <t>BYD COMPANY LIMITED 'H'CNY1</t>
  </si>
  <si>
    <t>CADENCE DESIGN SYSTEMS INC COM USD0.01</t>
  </si>
  <si>
    <t>CDNS</t>
  </si>
  <si>
    <t>CAE INC COM NPV</t>
  </si>
  <si>
    <t>CAMECO CORP COM NPV</t>
  </si>
  <si>
    <t>CCJ</t>
  </si>
  <si>
    <t>CCO</t>
  </si>
  <si>
    <t>CANADIAN APARTMENT PROPERTIES REAL TRUST UNITS</t>
  </si>
  <si>
    <t>CAR.UN</t>
  </si>
  <si>
    <t>CANADIAN IMPERIAL BANK OF COMMERCE COM NPV</t>
  </si>
  <si>
    <t>CM</t>
  </si>
  <si>
    <t>CANADIAN NATIONAL RAILWAYS CO COM NPV</t>
  </si>
  <si>
    <t>CNR</t>
  </si>
  <si>
    <t>CANADIAN NATURAL RESOURCES LTD COM NPV</t>
  </si>
  <si>
    <t>CANADIAN PAC KANS CITY LTD COM NPV</t>
  </si>
  <si>
    <t>CP</t>
  </si>
  <si>
    <t>CANADIAN TIRE LTD CLASS'A'CUM NON-VTG COM NPV</t>
  </si>
  <si>
    <t>CTC.A</t>
  </si>
  <si>
    <t>CAPGEMINI EUR8</t>
  </si>
  <si>
    <t>CAP</t>
  </si>
  <si>
    <t>CAPITAL ONE FINANCIAL CORP COM USD0.01</t>
  </si>
  <si>
    <t>CAPITALAND ASCENDAS REIT NPV(REAL ESTATE INVESTMENT TRUSTS)</t>
  </si>
  <si>
    <t>A17U</t>
  </si>
  <si>
    <t>XSES</t>
  </si>
  <si>
    <t>CAPITALAND INVESTMENT LTD NPV</t>
  </si>
  <si>
    <t>9CI</t>
  </si>
  <si>
    <t>CARBON REVOLUTION PUBLIC LIMITED CO COM USD0.0001</t>
  </si>
  <si>
    <t>CREV</t>
  </si>
  <si>
    <t>CARLSBERG AS SER'B'DKK20</t>
  </si>
  <si>
    <t>CARL B</t>
  </si>
  <si>
    <t>CARNIVAL CORP PAIRED CTF (1 COM CARN &amp; 1 SBI P&amp;O PRINC</t>
  </si>
  <si>
    <t>CARREFOUR SA EUR2.50</t>
  </si>
  <si>
    <t>CA</t>
  </si>
  <si>
    <t>CATERPILLAR INC COM USD1.00</t>
  </si>
  <si>
    <t>CCL INDUSTRIES INC CLASS'B'NON VTG COM NPV</t>
  </si>
  <si>
    <t>CCL.B</t>
  </si>
  <si>
    <t>CENOVUS ENERGY INC COM NPV</t>
  </si>
  <si>
    <t>CVE</t>
  </si>
  <si>
    <t>CENTRICA ORD GBP0.061728395</t>
  </si>
  <si>
    <t>CNA</t>
  </si>
  <si>
    <t>CF INDUSTRIES HOLDINGS INC COM USD0.01</t>
  </si>
  <si>
    <t>CF</t>
  </si>
  <si>
    <t>CGI INC COM NPV SUBORD VOTING SHARES CLASS A</t>
  </si>
  <si>
    <t>GIB.A</t>
  </si>
  <si>
    <t>CHARLES RIVER LABORATORIES COM STK USD0.01</t>
  </si>
  <si>
    <t>CRL</t>
  </si>
  <si>
    <t>CHARTER COMMUNICATIONS INC COM USD0.001 CLASS A</t>
  </si>
  <si>
    <t>CHTR</t>
  </si>
  <si>
    <t>CHEVRON CORPORATION COM USD0.75</t>
  </si>
  <si>
    <t>CVX</t>
  </si>
  <si>
    <t>CHINA CONSTRUCTION BANK 'H'CNY1</t>
  </si>
  <si>
    <t>CHINA HONGQIAO GROUP LTD USD0.01</t>
  </si>
  <si>
    <t>CHINA LIFE INSURANCE CO 'H'CNY1</t>
  </si>
  <si>
    <t>CHINA MENGNIU DAIRY CO HKD0.1</t>
  </si>
  <si>
    <t>CHINA MERCHANTS BANK CO LTD 'H'CNY1</t>
  </si>
  <si>
    <t>CHINA OVERSEAS LAND &amp; INVESTMNTS NPV</t>
  </si>
  <si>
    <t>CHINA PETROLEUM &amp; CHEMICAL CORP CNY1'H'SHS</t>
  </si>
  <si>
    <t>CHINA RESOURCES BEER (HOLDINGS) CO NPV</t>
  </si>
  <si>
    <t>CHINA RESOURCES LAND ORD HKD0.10</t>
  </si>
  <si>
    <t>CHINA RESOURCES MIXC LIFEST SVS LTD USD0.00001</t>
  </si>
  <si>
    <t>CHINA SHENHUA ENERGY COMPANY LTD 'H'CNY1</t>
  </si>
  <si>
    <t>CHIPOTLE MEXICAN GRILL COM USD0.01</t>
  </si>
  <si>
    <t>CMG</t>
  </si>
  <si>
    <t>CHOW TAI FOOK JEWELLERY GROUP LTD HKD1</t>
  </si>
  <si>
    <t>CINTAS CORP COM NPV</t>
  </si>
  <si>
    <t>CTAS</t>
  </si>
  <si>
    <t>CISCO SYSTEMS INC COM USD0.001</t>
  </si>
  <si>
    <t>CSCO</t>
  </si>
  <si>
    <t>CITIC LIMITED NPV</t>
  </si>
  <si>
    <t>CITIGROUP INC COM USD0.01</t>
  </si>
  <si>
    <t>C</t>
  </si>
  <si>
    <t>CITY DEVELOPMENTS NPV</t>
  </si>
  <si>
    <t>C09</t>
  </si>
  <si>
    <t>CK ASSET HOLDINGS LTD HKD1</t>
  </si>
  <si>
    <t>CK HUTCHISON HOLDINGS LIMITED HKD1</t>
  </si>
  <si>
    <t>CK INFRASTRUCTURE HOLDINGS LIMITED HKD1</t>
  </si>
  <si>
    <t>CLOUDFLARE INC COM USD0.001 CL A</t>
  </si>
  <si>
    <t>NET</t>
  </si>
  <si>
    <t>CLP HOLDINGS LTD NPV</t>
  </si>
  <si>
    <t>COCA-COLA CO COM USD0.25</t>
  </si>
  <si>
    <t>KO</t>
  </si>
  <si>
    <t>COCA-COLA HBC AG ORD CHF6.70(CDI)</t>
  </si>
  <si>
    <t>CCH</t>
  </si>
  <si>
    <t>COGNIZANT TECHNOLOGY SOLUTIONS CORP COM CL A USD0.01</t>
  </si>
  <si>
    <t>CTSH</t>
  </si>
  <si>
    <t>COINBASE GLOBAL INC COM USD0.00001 CL A</t>
  </si>
  <si>
    <t>COIN</t>
  </si>
  <si>
    <t>COLGATE-PALMOLIVE CO COM USD1.00</t>
  </si>
  <si>
    <t>CL</t>
  </si>
  <si>
    <t>COLOPLAST SER'B'DKK1</t>
  </si>
  <si>
    <t>COLO B</t>
  </si>
  <si>
    <t>COMCAST CORP COM USD0.01 CL A</t>
  </si>
  <si>
    <t>CMCSA</t>
  </si>
  <si>
    <t>COMMERZBANK AG NPV</t>
  </si>
  <si>
    <t>CBK</t>
  </si>
  <si>
    <t>COMPAGNIE DE ST-GOBAIN EUR4</t>
  </si>
  <si>
    <t>SGO</t>
  </si>
  <si>
    <t>COMPAGNIE FINANCIERE RICHEMONT SA. CHF1 (REGD)</t>
  </si>
  <si>
    <t>CFR</t>
  </si>
  <si>
    <t>COMPASS GROUP PLC ORD GBP0.1105</t>
  </si>
  <si>
    <t>CPG</t>
  </si>
  <si>
    <t>CONOCOPHILLIPS COM USD0.01</t>
  </si>
  <si>
    <t>COP</t>
  </si>
  <si>
    <t>CONSTELLATION BRANDS INC COM USD0.01 CLASS A</t>
  </si>
  <si>
    <t>STZ</t>
  </si>
  <si>
    <t>CONSTELLATION ENERGY CORPORATION COM NPV</t>
  </si>
  <si>
    <t>CEG</t>
  </si>
  <si>
    <t>CONSTELLATION SOFTWARE INC COM STK NPV</t>
  </si>
  <si>
    <t>CSU</t>
  </si>
  <si>
    <t>CONTEMPORARY AMPEREX TECHNOLOGY CO CNY1 H SHS</t>
  </si>
  <si>
    <t>CONTINENTAL AG NPV</t>
  </si>
  <si>
    <t>CON</t>
  </si>
  <si>
    <t>CONVATEC GROUP PLC ORD GBP0.1</t>
  </si>
  <si>
    <t>CTEC</t>
  </si>
  <si>
    <t>COPART INC COM USD0.0001</t>
  </si>
  <si>
    <t>CPRT</t>
  </si>
  <si>
    <t>COREBRIDGE FINANCIAL INC COM USD0.01</t>
  </si>
  <si>
    <t>CRBG</t>
  </si>
  <si>
    <t>CORTEVA INC COM USD0.01</t>
  </si>
  <si>
    <t>CTVA</t>
  </si>
  <si>
    <t>CORTICEIRA AMORIM-SOCIEDADE GESTORA EUR1</t>
  </si>
  <si>
    <t>COR</t>
  </si>
  <si>
    <t>COSTAR GROUP INC COM STK USD0.01</t>
  </si>
  <si>
    <t>CSGP</t>
  </si>
  <si>
    <t>COSTCO WHOLESALE CORP COM USD0.01</t>
  </si>
  <si>
    <t>COST</t>
  </si>
  <si>
    <t>COUNTRY GARDEN HLDGS CO LTD HKD0.10</t>
  </si>
  <si>
    <t>COUNTRY GARDEN SVCS HLDGS CO LTD USD0.0001</t>
  </si>
  <si>
    <t>COVESTRO AG NPV</t>
  </si>
  <si>
    <t>1COV</t>
  </si>
  <si>
    <t>CREDIT AGRICOLE SA EUR3</t>
  </si>
  <si>
    <t>ACA</t>
  </si>
  <si>
    <t>CRH ORD EUR 0.32 (DI)</t>
  </si>
  <si>
    <t>CRH</t>
  </si>
  <si>
    <t>CRISPR THERAPEUTICS AG COM CHF0.03</t>
  </si>
  <si>
    <t>CRSP</t>
  </si>
  <si>
    <t>CRODA INTERNATIONAL ORD GBP0.10609756</t>
  </si>
  <si>
    <t>CRDA</t>
  </si>
  <si>
    <t>CROWDSTRIKE HOLDINGS INC COM USD0.0005 CL A</t>
  </si>
  <si>
    <t>CRWD</t>
  </si>
  <si>
    <t>CROWN CASTLE INC COM USD0.01</t>
  </si>
  <si>
    <t>CCI</t>
  </si>
  <si>
    <t>CSPC PHARMACEUTICAL GROUP LIMITED NPV</t>
  </si>
  <si>
    <t>CSX CORP COM USD1</t>
  </si>
  <si>
    <t>CSX</t>
  </si>
  <si>
    <t>CTT CORREIOS DE PORTUGAL SA EUR0.17</t>
  </si>
  <si>
    <t>CUBESMART COM USD0.01</t>
  </si>
  <si>
    <t>CUBE</t>
  </si>
  <si>
    <t>CURTISS-WRIGHT CORP COM STK USD1</t>
  </si>
  <si>
    <t>CW</t>
  </si>
  <si>
    <t>CVS HEALTH CORPORATION COM USD0.01</t>
  </si>
  <si>
    <t>CVS</t>
  </si>
  <si>
    <t>D'IETEREN GROUP NPV</t>
  </si>
  <si>
    <t>DIE</t>
  </si>
  <si>
    <t>DAIICHI SANKYO COMPANY LIMITED NPV</t>
  </si>
  <si>
    <t>DAIMLER TRUCK HOLDING AG NPV</t>
  </si>
  <si>
    <t>DTG</t>
  </si>
  <si>
    <t>DANAHER CORP COM USD0.01</t>
  </si>
  <si>
    <t>DHR</t>
  </si>
  <si>
    <t>DANONE EUR0.25</t>
  </si>
  <si>
    <t>BN</t>
  </si>
  <si>
    <t>DANSKE BANK A/S DKK10</t>
  </si>
  <si>
    <t>DANSKE</t>
  </si>
  <si>
    <t>DASSAULT SYSTEMES EUR0.10</t>
  </si>
  <si>
    <t>DSY</t>
  </si>
  <si>
    <t>DATADOG INC COM USD0.00001 CL A</t>
  </si>
  <si>
    <t>DDOG</t>
  </si>
  <si>
    <t>DAVIDE CAMPARI MILANO NV EUR0.01</t>
  </si>
  <si>
    <t>CPR</t>
  </si>
  <si>
    <t>DBS GROUP HLDGS LTD NPV</t>
  </si>
  <si>
    <t>D05</t>
  </si>
  <si>
    <t>DCC ORD EUR0.25 (CDI)</t>
  </si>
  <si>
    <t>Deere &amp; Co</t>
  </si>
  <si>
    <t>DE</t>
  </si>
  <si>
    <t>DEMANT A/S DKK0.20</t>
  </si>
  <si>
    <t>DEMANT</t>
  </si>
  <si>
    <t>DENISON MINES CORPORATION COM NPV</t>
  </si>
  <si>
    <t>DML</t>
  </si>
  <si>
    <t>DEUTSCHE BANK AG ORD NPV(REGD)</t>
  </si>
  <si>
    <t>DBK</t>
  </si>
  <si>
    <t>DEUTSCHE BOERSE AG NPV(REGD)</t>
  </si>
  <si>
    <t>DB1</t>
  </si>
  <si>
    <t>DEUTSCHE POST AG NPV(REGD)</t>
  </si>
  <si>
    <t>DHL</t>
  </si>
  <si>
    <t>DEUTSCHE TELEKOM AG NPV(REGD)</t>
  </si>
  <si>
    <t>DTE</t>
  </si>
  <si>
    <t>DEVON ENERGY CORP COM STK USD0.10</t>
  </si>
  <si>
    <t>DVN</t>
  </si>
  <si>
    <t>DEXCOM INC COM USD0.001</t>
  </si>
  <si>
    <t>DXCM</t>
  </si>
  <si>
    <t>DFI RETAIL GROUP HOLDING LIMITED ORD USD5 5/9 CENTS(SINGAPORE REGD)</t>
  </si>
  <si>
    <t>D01</t>
  </si>
  <si>
    <t>DIAGEO PLC ORD GBP0.28 101/108</t>
  </si>
  <si>
    <t>DGE</t>
  </si>
  <si>
    <t>DIAMONDBACK ENERGY INC COM USD0.01</t>
  </si>
  <si>
    <t>DIASORIN SPA EUR1</t>
  </si>
  <si>
    <t>DIA</t>
  </si>
  <si>
    <t>DOCUSIGN INC COM USD0.0001</t>
  </si>
  <si>
    <t>DOCU</t>
  </si>
  <si>
    <t>DOLLAR TREE INC COM STK USD0.01</t>
  </si>
  <si>
    <t>DLTR</t>
  </si>
  <si>
    <t>DOLLARAMA INC COM NPV</t>
  </si>
  <si>
    <t>DOL</t>
  </si>
  <si>
    <t>DOMINION ENERGY INC COM STK NPV</t>
  </si>
  <si>
    <t>D</t>
  </si>
  <si>
    <t>DOW INC COM USD0.01</t>
  </si>
  <si>
    <t>DR. ING. H.C. F. PORSCHE AG NON-VTG PRF NPV</t>
  </si>
  <si>
    <t>P911</t>
  </si>
  <si>
    <t>DRAFTKINGS INC COM USD0.0001 CL A</t>
  </si>
  <si>
    <t>DKNG</t>
  </si>
  <si>
    <t>DSM FIRMENICH AG EUR0.01</t>
  </si>
  <si>
    <t>DSFIR</t>
  </si>
  <si>
    <t>DSV A/S DKK1</t>
  </si>
  <si>
    <t>DSV</t>
  </si>
  <si>
    <t>DUOLINGO INC COM USD0.0001 CLASS A</t>
  </si>
  <si>
    <t>DUOL</t>
  </si>
  <si>
    <t>DUPONT DE NEMOURS INC COM USD0.01</t>
  </si>
  <si>
    <t>DD</t>
  </si>
  <si>
    <t>DYNATRACE INC COM USD0.001</t>
  </si>
  <si>
    <t>DT</t>
  </si>
  <si>
    <t>E L FINANCIAL CORP LTD COM NPV</t>
  </si>
  <si>
    <t>ELF</t>
  </si>
  <si>
    <t>E.ON SE NPV</t>
  </si>
  <si>
    <t>EOAN</t>
  </si>
  <si>
    <t>EASTGROUP PROPERTIES INC COM STK USD0.0001</t>
  </si>
  <si>
    <t>EGP</t>
  </si>
  <si>
    <t>EBAY INC COM USD0.001</t>
  </si>
  <si>
    <t>EBAY</t>
  </si>
  <si>
    <t>EDP RENOVAVEIS SA EUR5</t>
  </si>
  <si>
    <t>EDPR</t>
  </si>
  <si>
    <t>EDP S.A EUR1(REGD)</t>
  </si>
  <si>
    <t>EDP</t>
  </si>
  <si>
    <t>ELECTROLUX AB SER'B'NPV</t>
  </si>
  <si>
    <t>ELUX B</t>
  </si>
  <si>
    <t>ELECTRONIC ARTS INC COM USD0.01</t>
  </si>
  <si>
    <t>EA</t>
  </si>
  <si>
    <t>ELEVANCE HEALTH INC COM USD0.01</t>
  </si>
  <si>
    <t>ELV</t>
  </si>
  <si>
    <t>ELI LILLY AND COMPANY COM NPV</t>
  </si>
  <si>
    <t>LLY</t>
  </si>
  <si>
    <t>ELIA GROUP NPV</t>
  </si>
  <si>
    <t>ELI</t>
  </si>
  <si>
    <t>EMERA INC COM NPV</t>
  </si>
  <si>
    <t>EMA</t>
  </si>
  <si>
    <t>EMERSON ELECTRIC CO COM USD0.50</t>
  </si>
  <si>
    <t>ENAGAS SA EUR1.50</t>
  </si>
  <si>
    <t>ENG</t>
  </si>
  <si>
    <t>ENBRIDGE INC COM NPV</t>
  </si>
  <si>
    <t>ENB</t>
  </si>
  <si>
    <t>ENDEAVOUR MINING PLC ORD USD0.01</t>
  </si>
  <si>
    <t>ENDESA SA EUR1.2</t>
  </si>
  <si>
    <t>ELE</t>
  </si>
  <si>
    <t>ENEL SPA EUR1</t>
  </si>
  <si>
    <t>ENEL</t>
  </si>
  <si>
    <t>ENGIE EUR1</t>
  </si>
  <si>
    <t>ENGI</t>
  </si>
  <si>
    <t>ENI SPA NPV</t>
  </si>
  <si>
    <t>ENI</t>
  </si>
  <si>
    <t>ENN ENERGY HOLDINGS LTD HKD0.10</t>
  </si>
  <si>
    <t>ENPHASE ENERGY INC COM USD0.00001</t>
  </si>
  <si>
    <t>ENPH</t>
  </si>
  <si>
    <t>ENTAIN PLC ORD EUR0.01</t>
  </si>
  <si>
    <t>ENT</t>
  </si>
  <si>
    <t>ENTEGRIS INC COM STK USD0.01</t>
  </si>
  <si>
    <t>ENTG</t>
  </si>
  <si>
    <t>ENTERGY CORP COM STK USD0.01</t>
  </si>
  <si>
    <t>ETR</t>
  </si>
  <si>
    <t>EQUINIX INC COM USD0.001</t>
  </si>
  <si>
    <t>EQIX</t>
  </si>
  <si>
    <t>EQUINOR ASA NOK2.50</t>
  </si>
  <si>
    <t>EQNR</t>
  </si>
  <si>
    <t>XOSL</t>
  </si>
  <si>
    <t>ERG SPA EUR0.10</t>
  </si>
  <si>
    <t>ERICSSON(L.M.)(TELEFONAKTIEBOLAGET) SER'B'NPV</t>
  </si>
  <si>
    <t>ERIC B</t>
  </si>
  <si>
    <t>ESSILORLUXOTTICA EUR0.18</t>
  </si>
  <si>
    <t>EL</t>
  </si>
  <si>
    <t>ESSITY AB SER'B'NPV</t>
  </si>
  <si>
    <t>ESSITYB</t>
  </si>
  <si>
    <t>EUROFINS SCIENTIFIC SE EUR0.01</t>
  </si>
  <si>
    <t>ERF</t>
  </si>
  <si>
    <t>EVERSOURCE ENERGY COM USD5</t>
  </si>
  <si>
    <t>ES</t>
  </si>
  <si>
    <t>EVN AG NPV</t>
  </si>
  <si>
    <t>XWBO</t>
  </si>
  <si>
    <t>EVOLUTION AB NPV</t>
  </si>
  <si>
    <t>EVO</t>
  </si>
  <si>
    <t>EXACT SCIENCES CORP COM STK USD0.01</t>
  </si>
  <si>
    <t>EXAS</t>
  </si>
  <si>
    <t>EXCHANGE TRADED CONCEPTS TRUST ROBO GLBL HEALTHCARE TECH &amp; INNOVTIN ETF</t>
  </si>
  <si>
    <t>HTEC</t>
  </si>
  <si>
    <t>EXELON CORP COM NPV</t>
  </si>
  <si>
    <t>EXC</t>
  </si>
  <si>
    <t>EXOR NV EUR0.01</t>
  </si>
  <si>
    <t>EXO</t>
  </si>
  <si>
    <t>EXPERIAN PLC ORD USD0.10</t>
  </si>
  <si>
    <t>EXPN</t>
  </si>
  <si>
    <t>EXTRA SPACE STORAGE INC COM USD0.01</t>
  </si>
  <si>
    <t>EXXON MOBIL CORPORATION COM NPV</t>
  </si>
  <si>
    <t>XOM</t>
  </si>
  <si>
    <t>F&amp;C INVESTMENT TRUST PLC ORD GBP0.25</t>
  </si>
  <si>
    <t>FCIT</t>
  </si>
  <si>
    <t>FASTENAL COM STK USD0.01</t>
  </si>
  <si>
    <t>FAST</t>
  </si>
  <si>
    <t>FDJ UNITED EUR0.40</t>
  </si>
  <si>
    <t>FDJU</t>
  </si>
  <si>
    <t>FEDERAL REALTY INVESTMENT TRUST COM USD0.01</t>
  </si>
  <si>
    <t>FRT</t>
  </si>
  <si>
    <t>FEDEX CORP COM USD0.10</t>
  </si>
  <si>
    <t>FDX</t>
  </si>
  <si>
    <t>FERRARI N V COM EUR0.01</t>
  </si>
  <si>
    <t>RACE</t>
  </si>
  <si>
    <t>FERROVIAL SE EUR0.01</t>
  </si>
  <si>
    <t>FER</t>
  </si>
  <si>
    <t>FINECOBANK SPA EUR0.33</t>
  </si>
  <si>
    <t>FBK</t>
  </si>
  <si>
    <t>FIRST QUANTUM MINERALS COM NPV</t>
  </si>
  <si>
    <t>FM</t>
  </si>
  <si>
    <t>FIRST SOLAR INC COM STK USD0.001</t>
  </si>
  <si>
    <t>FSLR</t>
  </si>
  <si>
    <t>FIRSTSERVICE CORP COM NPV</t>
  </si>
  <si>
    <t>FSV</t>
  </si>
  <si>
    <t>FISERV INC COM STK USD0.01</t>
  </si>
  <si>
    <t>FI</t>
  </si>
  <si>
    <t>FLOOR &amp; DECOR HOLDINGS INC COM USD0.001 CL A</t>
  </si>
  <si>
    <t>FLSMIDTH &amp; CO A/S DKK20</t>
  </si>
  <si>
    <t>FLS</t>
  </si>
  <si>
    <t>FLUTTER ENTERTAINMENT PLC ORD EUR0.09 (DI)</t>
  </si>
  <si>
    <t>FLTR</t>
  </si>
  <si>
    <t>FORD MOTOR CO COM USD0.01</t>
  </si>
  <si>
    <t>F</t>
  </si>
  <si>
    <t>FORTINET INC COM USD0.001</t>
  </si>
  <si>
    <t>FTNT</t>
  </si>
  <si>
    <t>FORTIS INC COM NPV</t>
  </si>
  <si>
    <t>FTS</t>
  </si>
  <si>
    <t>FRANCO NEVADA CORP COM NPV</t>
  </si>
  <si>
    <t>FNV</t>
  </si>
  <si>
    <t>Fraport AG</t>
  </si>
  <si>
    <t>FRA</t>
  </si>
  <si>
    <t>FRASERS GROUP PLC ORD GBP0.10</t>
  </si>
  <si>
    <t>FRAS</t>
  </si>
  <si>
    <t>FRASERS LOG &amp; COMMERCIAL TRUST NPV UNITS (REIT)</t>
  </si>
  <si>
    <t>BUOU</t>
  </si>
  <si>
    <t>FREEPORT-MCMORAN INC COM USD0.10</t>
  </si>
  <si>
    <t>FCX</t>
  </si>
  <si>
    <t>FRESENIUS SE&amp;CO KGAA NPV</t>
  </si>
  <si>
    <t>FRE</t>
  </si>
  <si>
    <t>FRESNILLO PLC ORD USD0.50</t>
  </si>
  <si>
    <t>FRES</t>
  </si>
  <si>
    <t>GALAPAGOS NV NPV</t>
  </si>
  <si>
    <t>GLPG</t>
  </si>
  <si>
    <t>GALAXY ENTERTAINMENT GROUP LIMITED NPV</t>
  </si>
  <si>
    <t>GALLAGHER(ARTHUR J.)&amp; CO COM USD1.00</t>
  </si>
  <si>
    <t>AJG</t>
  </si>
  <si>
    <t>GALMED PHARMACEUTICALS LTD COM ILS1.8</t>
  </si>
  <si>
    <t>GLMD</t>
  </si>
  <si>
    <t>GALP ENERGIA SGPS SA EUR1</t>
  </si>
  <si>
    <t>GALP</t>
  </si>
  <si>
    <t>GARMIN LTD COM CHF10.00</t>
  </si>
  <si>
    <t>GRMN</t>
  </si>
  <si>
    <t>GE AEROSPACE COM USD0.01</t>
  </si>
  <si>
    <t>GE</t>
  </si>
  <si>
    <t>GE HEALTHCARE TECHNOLOGIES INC COM USD0.01</t>
  </si>
  <si>
    <t>GEHC</t>
  </si>
  <si>
    <t>GE VERNOVA INC COM USD0.01</t>
  </si>
  <si>
    <t>GEV</t>
  </si>
  <si>
    <t>GEBERIT AG CHF0.10 (REGD)</t>
  </si>
  <si>
    <t>GEBN</t>
  </si>
  <si>
    <t>GEELY AUTOMOBILE HOLDINGS LIMITED HKD0.02</t>
  </si>
  <si>
    <t>GENERAL DYNAMICS CORP COM USD1.00</t>
  </si>
  <si>
    <t>GD</t>
  </si>
  <si>
    <t>GENERAL MOTORS CO COM USD0.01</t>
  </si>
  <si>
    <t>GM</t>
  </si>
  <si>
    <t>GENERALI SPA NPV</t>
  </si>
  <si>
    <t>G</t>
  </si>
  <si>
    <t>GENMAB AS DKK1</t>
  </si>
  <si>
    <t>GMAB</t>
  </si>
  <si>
    <t>GENTING SINGAPORE LTD NPV</t>
  </si>
  <si>
    <t>G13</t>
  </si>
  <si>
    <t>GEORGE WESTON LTD COM NPV</t>
  </si>
  <si>
    <t>WN</t>
  </si>
  <si>
    <t>GETINGE AB SER'B'NPV</t>
  </si>
  <si>
    <t>GETI B</t>
  </si>
  <si>
    <t>GIBSON ENERGY INC COM NPV</t>
  </si>
  <si>
    <t>GEI</t>
  </si>
  <si>
    <t>GILDAN ACTIVEWEAR INC COM NPV</t>
  </si>
  <si>
    <t>GIL</t>
  </si>
  <si>
    <t>GILEAD SCIENCES INC COM USD0.001</t>
  </si>
  <si>
    <t>GILD</t>
  </si>
  <si>
    <t>GINKGO BIOWORKS HOLDINGS INC COM USD0.0001 CL A (P/S)</t>
  </si>
  <si>
    <t>DNA</t>
  </si>
  <si>
    <t>GIVAUDAN SA CHF10</t>
  </si>
  <si>
    <t>GIVN</t>
  </si>
  <si>
    <t>GLENCORE PLC ORD USD0.01</t>
  </si>
  <si>
    <t>GLEN</t>
  </si>
  <si>
    <t>GLOBAL X ETFS ICAV URANIUM UCITS ETF GBP ACC</t>
  </si>
  <si>
    <t>URNG</t>
  </si>
  <si>
    <t>GLOBALFOUNDRIES INC COM USD0.02</t>
  </si>
  <si>
    <t>GFS</t>
  </si>
  <si>
    <t>GN STORE NORD DKK4</t>
  </si>
  <si>
    <t>GN</t>
  </si>
  <si>
    <t>GODADDY INC COM USD0.001 CLASS A</t>
  </si>
  <si>
    <t>GDDY</t>
  </si>
  <si>
    <t>GOLDMAN SACHS GROUP INC COM USD0.01</t>
  </si>
  <si>
    <t>GS</t>
  </si>
  <si>
    <t>GOLDMINING INC COM NPV</t>
  </si>
  <si>
    <t>GLDG</t>
  </si>
  <si>
    <t>GRAYSCALE ETHEREUM MINI TR ETF GRAYSCALE ETHEREUM MINI TR ETF SHS (P/S)</t>
  </si>
  <si>
    <t>ETH</t>
  </si>
  <si>
    <t>GRAYSCALE ETHEREUM TRUST ETF COMMON UNITS OF FRACTIONAL UNDIVIDENT BE</t>
  </si>
  <si>
    <t>ETHE</t>
  </si>
  <si>
    <t>GROUPE BRUXELLES LAMBERT NPV</t>
  </si>
  <si>
    <t>GBLB</t>
  </si>
  <si>
    <t>GSK PLC ORD GBP0.3125</t>
  </si>
  <si>
    <t>GSK</t>
  </si>
  <si>
    <t>HAIDILAO INTL HLDG LTD USD0.000005</t>
  </si>
  <si>
    <t>HAIER SMART HOME CO LTD CNY1 H</t>
  </si>
  <si>
    <t>HALEON PLC ORD GBP0.01</t>
  </si>
  <si>
    <t>HLN</t>
  </si>
  <si>
    <t>HALLIBURTON CO COM USD2.50</t>
  </si>
  <si>
    <t>HAL</t>
  </si>
  <si>
    <t>HALMA ORD GBP0.10</t>
  </si>
  <si>
    <t>HLMA</t>
  </si>
  <si>
    <t>HANG LUNG PROPERTIES (HLP) NPV</t>
  </si>
  <si>
    <t>HANG SENG BANK NPV</t>
  </si>
  <si>
    <t>HANNOVER RUECK SE ORD NPV(REGD)</t>
  </si>
  <si>
    <t>HNR1</t>
  </si>
  <si>
    <t>HANSOH PHARMACEUTICAL GROUP CO LTD HKD0.00001</t>
  </si>
  <si>
    <t>HDFC BANK LTD SPON ADS EACH REP 3 ORD SHS</t>
  </si>
  <si>
    <t>HDB</t>
  </si>
  <si>
    <t>HEALTHPEAK PROPERTIES INC COM USD1</t>
  </si>
  <si>
    <t>DOC</t>
  </si>
  <si>
    <t>HEIDELBERG MATERIALS NPV</t>
  </si>
  <si>
    <t>HEI</t>
  </si>
  <si>
    <t>HEINEKEN NV EUR1.60</t>
  </si>
  <si>
    <t>HEIA</t>
  </si>
  <si>
    <t>HELIX ENERGY SOLUTIONS GROUP INC COM NPV</t>
  </si>
  <si>
    <t>HLX</t>
  </si>
  <si>
    <t>HENDERSON LAND DEVELOPMENT CO NPV</t>
  </si>
  <si>
    <t>HENGAN INTERNATIONAL HKD0.10</t>
  </si>
  <si>
    <t>HENKEL AG&amp;CO. KGAA NON-VTG PRF NPV</t>
  </si>
  <si>
    <t>HEN3</t>
  </si>
  <si>
    <t>HENNES &amp; MAURITZ SER'B'NPV</t>
  </si>
  <si>
    <t>HM B</t>
  </si>
  <si>
    <t>HERA SPA EUR1</t>
  </si>
  <si>
    <t>HER</t>
  </si>
  <si>
    <t>HERMES INTERNATIONAL NPV</t>
  </si>
  <si>
    <t>HEXAGON AB SER'B'NPV</t>
  </si>
  <si>
    <t>HEXA B</t>
  </si>
  <si>
    <t>HISCOX ORD GBP0.065 (DI)</t>
  </si>
  <si>
    <t>HSX</t>
  </si>
  <si>
    <t>HOLCIM LTD CHF2 (REGD)</t>
  </si>
  <si>
    <t>HOLN</t>
  </si>
  <si>
    <t>HOME DEPOT INC COM USD0.05</t>
  </si>
  <si>
    <t>HD</t>
  </si>
  <si>
    <t>HONEYWELL INTERNATIONAL INC COM USD1</t>
  </si>
  <si>
    <t>HON</t>
  </si>
  <si>
    <t>HONG KONG EXCHANGES &amp; CLEARING NPV</t>
  </si>
  <si>
    <t>HONGKONG &amp; CHINA GAS CO. LTD. NPV</t>
  </si>
  <si>
    <t>HONGKONG LAND HOLDINGS LTD ORD USD0.10(SINGAPORE REG)</t>
  </si>
  <si>
    <t>H78</t>
  </si>
  <si>
    <t>HP INCORPORATION COM USD0.01</t>
  </si>
  <si>
    <t>HPQ</t>
  </si>
  <si>
    <t>HSBC HOLDINGS PLC ORD USD0.50</t>
  </si>
  <si>
    <t>HSBA</t>
  </si>
  <si>
    <t>HSBC HOLDINGS PLC ORD USD0.50(HONG KONG REG)</t>
  </si>
  <si>
    <t>HUBBELL INC COM USD0.001</t>
  </si>
  <si>
    <t>HUBB</t>
  </si>
  <si>
    <t>HUMANA INC COM STK USD0.166</t>
  </si>
  <si>
    <t>HUMBLE GROUP AB NPV</t>
  </si>
  <si>
    <t>HUMBLE</t>
  </si>
  <si>
    <t>HYDRO ONE LTD COM NPV</t>
  </si>
  <si>
    <t>H</t>
  </si>
  <si>
    <t>IBERDROLA SA EUR0.75</t>
  </si>
  <si>
    <t>IBE</t>
  </si>
  <si>
    <t>IBERSOL SGPS SA EUR1</t>
  </si>
  <si>
    <t>IBS</t>
  </si>
  <si>
    <t>ICICI BANK LIMITED SPON ADR EACH REPR 2 ORD SHS</t>
  </si>
  <si>
    <t>IBN</t>
  </si>
  <si>
    <t>ICL GROUP LTD ILS1</t>
  </si>
  <si>
    <t>IDEXX LABORATORIES INC COM USD0.10</t>
  </si>
  <si>
    <t>IDXX</t>
  </si>
  <si>
    <t>ILLUMINA INC COM USD0.01</t>
  </si>
  <si>
    <t>ILMN</t>
  </si>
  <si>
    <t>IMCD NV EUR0.16</t>
  </si>
  <si>
    <t>IMCD</t>
  </si>
  <si>
    <t>IMPERIAL BRANDS PLC GBP0.10</t>
  </si>
  <si>
    <t>IMPERIAL OIL COM NPV</t>
  </si>
  <si>
    <t>IMO</t>
  </si>
  <si>
    <t>INDUSTRIAL &amp; COMMERCIAL BK OF CHINA 'H'CNY1</t>
  </si>
  <si>
    <t>INFINEON TECHNOLOGIES AG ORD NPV (REGD)</t>
  </si>
  <si>
    <t>IFX</t>
  </si>
  <si>
    <t>INFORMA PLC ORD GBP0.001</t>
  </si>
  <si>
    <t>INF</t>
  </si>
  <si>
    <t>INFRASTRUTTURE WIRELESS ITALIA SPA NPV</t>
  </si>
  <si>
    <t>INW</t>
  </si>
  <si>
    <t>ING GROEP N.V. EUR0.01</t>
  </si>
  <si>
    <t>INGA</t>
  </si>
  <si>
    <t>INTACT FINANCIAL CORPORATION COM NPV</t>
  </si>
  <si>
    <t>IFC</t>
  </si>
  <si>
    <t>INTEL CORP COM USD0.001</t>
  </si>
  <si>
    <t>INTC</t>
  </si>
  <si>
    <t>INTELLIA THERAPEUTICS INC COM USD0.0001</t>
  </si>
  <si>
    <t>NTLA</t>
  </si>
  <si>
    <t>INTERCONTINENTAL EXCHANGE INC COM USD0.01</t>
  </si>
  <si>
    <t>ICE</t>
  </si>
  <si>
    <t>INTERCONTINENTAL HOTELS GROUP ORD GBP0.208521303</t>
  </si>
  <si>
    <t>IHG</t>
  </si>
  <si>
    <t>INTERNATIONAL BUS MACH CORP COM USD0.20</t>
  </si>
  <si>
    <t>IBM</t>
  </si>
  <si>
    <t>INTERNATIONAL CONSOLIDATED AIRLINE ORD EUR0.10 (CDI)</t>
  </si>
  <si>
    <t>INTERPUMP GROUP EUR0.52</t>
  </si>
  <si>
    <t>IP</t>
  </si>
  <si>
    <t>INTERTEK GROUP ORD GBP0.01</t>
  </si>
  <si>
    <t>ITRK</t>
  </si>
  <si>
    <t>INTESA SANPAOLO S.P.A. NPV</t>
  </si>
  <si>
    <t>ISP</t>
  </si>
  <si>
    <t>INTUIT INC COM USD0.01</t>
  </si>
  <si>
    <t>INTU</t>
  </si>
  <si>
    <t>INTUITIVE SURGICAL INC COM USD0.001</t>
  </si>
  <si>
    <t>ISRG</t>
  </si>
  <si>
    <t>INVESCO QQQ TRUST UNIT SER 1</t>
  </si>
  <si>
    <t>QQQ</t>
  </si>
  <si>
    <t>INVESTOR AB SER'B'NPV</t>
  </si>
  <si>
    <t>INVE B</t>
  </si>
  <si>
    <t>INVITATION HOMES INC COM USD0.01</t>
  </si>
  <si>
    <t>INVH</t>
  </si>
  <si>
    <t>IREN LIMITED COM NPV</t>
  </si>
  <si>
    <t>IREN</t>
  </si>
  <si>
    <t>IREN SPA EUR1</t>
  </si>
  <si>
    <t>IRON MOUNTAIN INC COM USD0.01</t>
  </si>
  <si>
    <t>IRM</t>
  </si>
  <si>
    <t>ISHARES TRUST GLOBAL ENERGY ETF</t>
  </si>
  <si>
    <t>IXC</t>
  </si>
  <si>
    <t>ISHARES TRUST ISHARES BIOTECHNOLOGY ETF</t>
  </si>
  <si>
    <t>IBB</t>
  </si>
  <si>
    <t>ISHARES TRUST ISHARES CORE HIGH DIVIDEND</t>
  </si>
  <si>
    <t>HDV</t>
  </si>
  <si>
    <t>ISS A/S DKK1</t>
  </si>
  <si>
    <t>ISS</t>
  </si>
  <si>
    <t>ITALGAS SPA NPV</t>
  </si>
  <si>
    <t>IG</t>
  </si>
  <si>
    <t>ITOCHU CORP NPV</t>
  </si>
  <si>
    <t>IVECO GROUP NV EUR0.01</t>
  </si>
  <si>
    <t>IVG</t>
  </si>
  <si>
    <t>JAPAN HOTEL REIT INVESTMENT CORP REIT</t>
  </si>
  <si>
    <t>JAPAN METROPOLITAN FUND INV CORP REIT</t>
  </si>
  <si>
    <t>JARDINE CYCLE &amp; CARRIAGE LTD NPV</t>
  </si>
  <si>
    <t>C07</t>
  </si>
  <si>
    <t>JARDINE MATHESON HLDGS USD0.25(SINGAPORE REG)</t>
  </si>
  <si>
    <t>J36</t>
  </si>
  <si>
    <t>JD SPORTS FASHION PLC ORD GBP0.0005</t>
  </si>
  <si>
    <t>JD.</t>
  </si>
  <si>
    <t>JD.COM INC SPON ADS EACH REPR 2 ORD SHS CLASS A</t>
  </si>
  <si>
    <t>JD</t>
  </si>
  <si>
    <t>JD.COM INC USD0.00002 A CLASS</t>
  </si>
  <si>
    <t>JERONIMO MARTINS SGPS EUR1</t>
  </si>
  <si>
    <t>JMT</t>
  </si>
  <si>
    <t>JOBY AVIATION INC COM USD0.0001</t>
  </si>
  <si>
    <t>JOBY</t>
  </si>
  <si>
    <t>JOHNSON &amp; JOHNSON COM USD1.00</t>
  </si>
  <si>
    <t>JNJ</t>
  </si>
  <si>
    <t>JOHNSON MATTHEY ORD GBP1.109245</t>
  </si>
  <si>
    <t>JMAT</t>
  </si>
  <si>
    <t>JP MORGAN ETF TRUST NASDAQ EQUITY PREMIUM INCOME ETF</t>
  </si>
  <si>
    <t>JEPQ</t>
  </si>
  <si>
    <t>JPMORGAN CHASE &amp; CO. COM USD1.00</t>
  </si>
  <si>
    <t>JPM</t>
  </si>
  <si>
    <t>JULIUS BAER GRUPPE AG CHF0.02 (REGD)</t>
  </si>
  <si>
    <t>BAER</t>
  </si>
  <si>
    <t>JYSKE BANK A/S DKK10</t>
  </si>
  <si>
    <t>JYSK</t>
  </si>
  <si>
    <t>KBC GROEP NV NPV</t>
  </si>
  <si>
    <t>KBC</t>
  </si>
  <si>
    <t>KENVUE INC COM USD0.01</t>
  </si>
  <si>
    <t>KVUE</t>
  </si>
  <si>
    <t>KEPPEL DC REIT NPV</t>
  </si>
  <si>
    <t>AJBU</t>
  </si>
  <si>
    <t>KEPPEL LTD NPV</t>
  </si>
  <si>
    <t>BN4</t>
  </si>
  <si>
    <t>KERING EUR4</t>
  </si>
  <si>
    <t>KER</t>
  </si>
  <si>
    <t>KEURIG DR PEPPER INC COM USD0.01</t>
  </si>
  <si>
    <t>KDP</t>
  </si>
  <si>
    <t>KINGFISHER ORD GBP0.157142857</t>
  </si>
  <si>
    <t>KGF</t>
  </si>
  <si>
    <t>KINNEVIK AB SER'B'NPV</t>
  </si>
  <si>
    <t>KINV B</t>
  </si>
  <si>
    <t>KINROSS GOLD CORP COM NPV</t>
  </si>
  <si>
    <t>K</t>
  </si>
  <si>
    <t>KLA CORPORATION COM USD0.001</t>
  </si>
  <si>
    <t>KLAC</t>
  </si>
  <si>
    <t>KONINKLIJKE AHOLD DELHAIZE NV EUR0.01</t>
  </si>
  <si>
    <t>AD</t>
  </si>
  <si>
    <t>KONINKLIJKE KPN NV EUR0.04</t>
  </si>
  <si>
    <t>KPN</t>
  </si>
  <si>
    <t>KONINKLIJKE PHILIPS NV EUR0.20</t>
  </si>
  <si>
    <t>PHIA</t>
  </si>
  <si>
    <t>KRAFT HEINZ CO COM USD0.01</t>
  </si>
  <si>
    <t>KHC</t>
  </si>
  <si>
    <t>KUEHNE &amp; NAGEL INTERNATIONAL AG CHF1 (REGD)</t>
  </si>
  <si>
    <t>KNIN</t>
  </si>
  <si>
    <t>L'OREAL EUR0.20</t>
  </si>
  <si>
    <t>OR</t>
  </si>
  <si>
    <t>LAM RESEARCH CORP COM USD0.001 (P/S)</t>
  </si>
  <si>
    <t>LRCX</t>
  </si>
  <si>
    <t>LAND SECURITIES GROUP PLC ORD GBP0.106666666</t>
  </si>
  <si>
    <t>LAND</t>
  </si>
  <si>
    <t>LAS VEGAS SANDS CORP COM USD0.001</t>
  </si>
  <si>
    <t>LVS</t>
  </si>
  <si>
    <t>LEGAL &amp; GENERAL GROUP ORD GBP0.025</t>
  </si>
  <si>
    <t>LGEN</t>
  </si>
  <si>
    <t>LEGRAND SA EUR4</t>
  </si>
  <si>
    <t>LR</t>
  </si>
  <si>
    <t>LENOVO GROUP LIMITED NPV</t>
  </si>
  <si>
    <t>LEONARDO SPA NPV</t>
  </si>
  <si>
    <t>LDO</t>
  </si>
  <si>
    <t>LI NING CO LTD HKD0.1</t>
  </si>
  <si>
    <t>LIBERTY MEDIA CORPORATION COM USD0.01 FORMULA ONE SER C</t>
  </si>
  <si>
    <t>FWONK</t>
  </si>
  <si>
    <t>LIFEWARD LIMITED COM ILS0.25</t>
  </si>
  <si>
    <t>LFWD</t>
  </si>
  <si>
    <t>LINDE PLC COM EUR0.001</t>
  </si>
  <si>
    <t>LINK REAL ESTATE INVESTMENT TRUST UNITS</t>
  </si>
  <si>
    <t>LLOYDS BANKING GROUP ORD GBP0.1</t>
  </si>
  <si>
    <t>LLOY</t>
  </si>
  <si>
    <t>LOBLAWS COMPANIES LIMITED COM STK NPV</t>
  </si>
  <si>
    <t>L</t>
  </si>
  <si>
    <t>LOCKHEED MARTIN CORP COM USD1.00</t>
  </si>
  <si>
    <t>LMT</t>
  </si>
  <si>
    <t>LOGITECH INTERNATIONAL SA CHF0.25 (REGD)</t>
  </si>
  <si>
    <t>LOGN</t>
  </si>
  <si>
    <t>LONDON STOCK EXCHANGE GROUP ORD GBP0.06918604</t>
  </si>
  <si>
    <t>LSEG</t>
  </si>
  <si>
    <t>LONGFOR GROUP HLDGS LTD HKD0.10</t>
  </si>
  <si>
    <t>LONZA GROUP AG CHF1 (REGD)</t>
  </si>
  <si>
    <t>LONN</t>
  </si>
  <si>
    <t>LOWE'S COMPANIES INC COM USD0.50</t>
  </si>
  <si>
    <t>LOW</t>
  </si>
  <si>
    <t>LPL FINL HLDGS INC COM USD0.001</t>
  </si>
  <si>
    <t>LPLA</t>
  </si>
  <si>
    <t>LUCID GROUP INC COM USD0.0001 CL A (P/S)</t>
  </si>
  <si>
    <t>LCID</t>
  </si>
  <si>
    <t>LULULEMON ATHLETICA INC COM USD0.005</t>
  </si>
  <si>
    <t>LULU</t>
  </si>
  <si>
    <t>LVMH MOET HENNESSY VUITTON SE EUR0.30</t>
  </si>
  <si>
    <t>MC</t>
  </si>
  <si>
    <t>M&amp;G PLC ORD GBP0.05</t>
  </si>
  <si>
    <t>MNG</t>
  </si>
  <si>
    <t>MAGNA INTERNATIONAL INC COM NPV</t>
  </si>
  <si>
    <t>MG</t>
  </si>
  <si>
    <t>MANULIFE FINANCIAL CORP COM NPV</t>
  </si>
  <si>
    <t>MFC</t>
  </si>
  <si>
    <t>MAPLETREE INDUSTRIAL TRUST NPV (REIT)</t>
  </si>
  <si>
    <t>ME8U</t>
  </si>
  <si>
    <t>MAPLETREE LOGISTICS TRUST NPV (REIT)</t>
  </si>
  <si>
    <t>M44U</t>
  </si>
  <si>
    <t>MAPLETREE PANASIA COMMERCIAL TRUST NPV(REAL ESTATE INVESTMENT TRUSTS)REG S</t>
  </si>
  <si>
    <t>N2IU</t>
  </si>
  <si>
    <t>MARRIOTT INTERNATIONAL INC COM USD0.01 CLASS A</t>
  </si>
  <si>
    <t>MAR</t>
  </si>
  <si>
    <t>MARVELL TECHNOLOGY INC COM USD0.002</t>
  </si>
  <si>
    <t>MRVL</t>
  </si>
  <si>
    <t>MASIMO CORPORATION COM STK USD0.001</t>
  </si>
  <si>
    <t>MASI</t>
  </si>
  <si>
    <t>MASTERCARD INCORPORATED COM USD0.0001 CLASS A</t>
  </si>
  <si>
    <t>MA</t>
  </si>
  <si>
    <t>MCDONALD'S CORPORATION COM USD0.01</t>
  </si>
  <si>
    <t>MCD</t>
  </si>
  <si>
    <t>MCKESSON CORPORATION COM USD0.01</t>
  </si>
  <si>
    <t>MCK</t>
  </si>
  <si>
    <t>MEDIOBANCA DI CREDITO FINANZ SPA EUR0.5</t>
  </si>
  <si>
    <t>MB</t>
  </si>
  <si>
    <t>MEDTRONIC PLC USD0.0001</t>
  </si>
  <si>
    <t>MDT</t>
  </si>
  <si>
    <t>MEITUAN USD0.00001 B CLASS</t>
  </si>
  <si>
    <t>MELEXIS NPV</t>
  </si>
  <si>
    <t>MELE</t>
  </si>
  <si>
    <t>MELROSE INDUSTRIES PLC ORD GBP0.001</t>
  </si>
  <si>
    <t>MRO</t>
  </si>
  <si>
    <t>MERCADOLIBRE INC COM USD0.001</t>
  </si>
  <si>
    <t>MELI</t>
  </si>
  <si>
    <t>MERCEDES-BENZ GROUP AG ORD NPV(REGD)</t>
  </si>
  <si>
    <t>MBG</t>
  </si>
  <si>
    <t>MERCK &amp; CO INC COM USD0.50</t>
  </si>
  <si>
    <t>MRK</t>
  </si>
  <si>
    <t>MERCK KGAA NPV</t>
  </si>
  <si>
    <t>META PLATFORMS INC COM USD0.000006 CL 'A'</t>
  </si>
  <si>
    <t>META</t>
  </si>
  <si>
    <t>METLIFE INC COM USD0.01</t>
  </si>
  <si>
    <t>MET</t>
  </si>
  <si>
    <t>METRO INC COM NPV</t>
  </si>
  <si>
    <t>MRU</t>
  </si>
  <si>
    <t>MICHELIN(CIE GLE DES ETABL.) EUR0.50 (POST SUBDIVISION)</t>
  </si>
  <si>
    <t>ML</t>
  </si>
  <si>
    <t>MICROCHIP TECHNOLOGY COM USD0.001</t>
  </si>
  <si>
    <t>MCHP</t>
  </si>
  <si>
    <t>MICRON TECHNOLOGY INC COM USD0.10</t>
  </si>
  <si>
    <t>MU</t>
  </si>
  <si>
    <t>MICROSOFT CORP COM USD0.00000625</t>
  </si>
  <si>
    <t>MSFT</t>
  </si>
  <si>
    <t>MODERNA INC COM USD0.0001</t>
  </si>
  <si>
    <t>MRNA</t>
  </si>
  <si>
    <t>MONCLER SPA NPV</t>
  </si>
  <si>
    <t>MONC</t>
  </si>
  <si>
    <t>MONDELEZ INTL INC COM NPV</t>
  </si>
  <si>
    <t>MDLZ</t>
  </si>
  <si>
    <t>MONDI PLC ORD EUR0.22</t>
  </si>
  <si>
    <t>MNDI</t>
  </si>
  <si>
    <t>MONSTER BEVERAGE CORP COM USD0.005</t>
  </si>
  <si>
    <t>MNST</t>
  </si>
  <si>
    <t>MONTEA NV NPV</t>
  </si>
  <si>
    <t>MONT</t>
  </si>
  <si>
    <t>MORGAN STANLEY COM USD0.01</t>
  </si>
  <si>
    <t>MS</t>
  </si>
  <si>
    <t>MOTA ENGIL SGPS EUR1</t>
  </si>
  <si>
    <t>MTR CORPORATION LTD NPV</t>
  </si>
  <si>
    <t>MTU AERO ENGINES AG NPV (REGD)</t>
  </si>
  <si>
    <t>MTX</t>
  </si>
  <si>
    <t>MUENCHENER RUECKVERSICHERUNGS AG NPV(REGD)</t>
  </si>
  <si>
    <t>MUV2</t>
  </si>
  <si>
    <t>NATERA INC COM USD0.0001</t>
  </si>
  <si>
    <t>NTRA</t>
  </si>
  <si>
    <t>NATIONAL BANK OF CANADA COM NPV</t>
  </si>
  <si>
    <t>NA</t>
  </si>
  <si>
    <t>NATIONAL GRID ORD GBP0.12431289</t>
  </si>
  <si>
    <t>NG.</t>
  </si>
  <si>
    <t>NATWEST GROUP PLC ORD GBP1.0769</t>
  </si>
  <si>
    <t>NWG</t>
  </si>
  <si>
    <t>NAVIGATOR COMPANY SA NPV</t>
  </si>
  <si>
    <t>NVG</t>
  </si>
  <si>
    <t>NESTLE SA CHF0.10 (REGD)</t>
  </si>
  <si>
    <t>NESN</t>
  </si>
  <si>
    <t>NETCOMPANY GROUP A/S DKK1</t>
  </si>
  <si>
    <t>NETC</t>
  </si>
  <si>
    <t>NETEASE INC USD0.0001</t>
  </si>
  <si>
    <t>NETFLIX INC COM USD0.001</t>
  </si>
  <si>
    <t>NFLX</t>
  </si>
  <si>
    <t>NEW WORLD DEVELOPMENT CO NPV POST CON</t>
  </si>
  <si>
    <t>NEXGEN ENERGY LTD COM NPV</t>
  </si>
  <si>
    <t>NXE</t>
  </si>
  <si>
    <t>NEXI SPA NPV</t>
  </si>
  <si>
    <t>NEXI</t>
  </si>
  <si>
    <t>NEXT ORD GBP0.10</t>
  </si>
  <si>
    <t>NEXTERA ENERGY INC COM USD0.01</t>
  </si>
  <si>
    <t>NEE</t>
  </si>
  <si>
    <t>NIBE INDUSTRIER AB SER'B'NPV</t>
  </si>
  <si>
    <t>NIBE B</t>
  </si>
  <si>
    <t>NICE LTD ADR-EACH CNV INTO 1 ORD ILS1</t>
  </si>
  <si>
    <t>NICE</t>
  </si>
  <si>
    <t>NIDEC CORPORATION NPV</t>
  </si>
  <si>
    <t>NIKE INC CLASS'B'COM NPV</t>
  </si>
  <si>
    <t>NKE</t>
  </si>
  <si>
    <t>NINTENDO CO LTD NPV</t>
  </si>
  <si>
    <t>NN GROUP N.V. EUR0.12</t>
  </si>
  <si>
    <t>NN</t>
  </si>
  <si>
    <t>NONGFU SPRING CO LTD CNY1 H</t>
  </si>
  <si>
    <t>NORDEA BANK ABP NPV</t>
  </si>
  <si>
    <t>NDA DK</t>
  </si>
  <si>
    <t>NDA SE</t>
  </si>
  <si>
    <t>NORFOLK SOUTHERN CORP COM USD1</t>
  </si>
  <si>
    <t>NOS SGPS EUR 0.50</t>
  </si>
  <si>
    <t>NOS</t>
  </si>
  <si>
    <t>NOVARTIS AG CHF0.49 (REGD)</t>
  </si>
  <si>
    <t>NOVN</t>
  </si>
  <si>
    <t>NOVO NORDISK A/S SER'B'DKK0.1</t>
  </si>
  <si>
    <t>NOVO B</t>
  </si>
  <si>
    <t>NOVO NORDISK A/SADR-EACH CNV INTO 1 CLASS'B'DKK1</t>
  </si>
  <si>
    <t>NVO</t>
  </si>
  <si>
    <t>NOVONESIS (NOVOZYMES) B SER'B'DKK2</t>
  </si>
  <si>
    <t>NSISB</t>
  </si>
  <si>
    <t>NU HOLDINGS LTD USD0.000006666666 CLASS A</t>
  </si>
  <si>
    <t>NU</t>
  </si>
  <si>
    <t>NUSCALE POWER CORPORATION COM USD0.0001</t>
  </si>
  <si>
    <t>NUTRIEN LTD COM NPV</t>
  </si>
  <si>
    <t>NTR</t>
  </si>
  <si>
    <t>NVIDIA CORP COM USD0.001</t>
  </si>
  <si>
    <t>NVDA</t>
  </si>
  <si>
    <t>NXP SEMICONDUCTORS N V EUR0.20</t>
  </si>
  <si>
    <t>NXPI</t>
  </si>
  <si>
    <t>OCADO GROUP PLC ORD GBP0.02</t>
  </si>
  <si>
    <t>OCDO</t>
  </si>
  <si>
    <t>OGE ENERGY CORP COM USD0.01</t>
  </si>
  <si>
    <t>OGE</t>
  </si>
  <si>
    <t>OLD DOMINION FREIGHT LINE INC COM USD0.10</t>
  </si>
  <si>
    <t>ODFL</t>
  </si>
  <si>
    <t>OLYMPUS CORPORATION NPV</t>
  </si>
  <si>
    <t>OMRON CORP NPV</t>
  </si>
  <si>
    <t>ONEOK INC COM USD0.01</t>
  </si>
  <si>
    <t>OKE</t>
  </si>
  <si>
    <t>ONTO INNOVATION INC COM USD0.001</t>
  </si>
  <si>
    <t>ONTO</t>
  </si>
  <si>
    <t>OPEN TEXT CO COM NPV</t>
  </si>
  <si>
    <t>OTEX</t>
  </si>
  <si>
    <t>ORACLE CORP COM USD0.01</t>
  </si>
  <si>
    <t>ORCL</t>
  </si>
  <si>
    <t>ORANGE EUR4</t>
  </si>
  <si>
    <t>OREILLY AUTOMOTIVE INC NEW USD0.01</t>
  </si>
  <si>
    <t>ORLY</t>
  </si>
  <si>
    <t>ORIENT OVERSEAS INT USD0.1</t>
  </si>
  <si>
    <t>ORIX JREIT INC REIT</t>
  </si>
  <si>
    <t>ORSTED A/S DKK10</t>
  </si>
  <si>
    <t>ORSTED</t>
  </si>
  <si>
    <t>OVERSEA-CHINESE BANKING CORP NPV</t>
  </si>
  <si>
    <t>O39</t>
  </si>
  <si>
    <t>PACCAR INC COM USD1.00</t>
  </si>
  <si>
    <t>PCAR</t>
  </si>
  <si>
    <t>PACIFIC BIOSCIENCES CALIFORNIA INC COM USD0.0001</t>
  </si>
  <si>
    <t>PACB</t>
  </si>
  <si>
    <t>PAGERDUTY INC COM USD0.000005</t>
  </si>
  <si>
    <t>PD</t>
  </si>
  <si>
    <t>PALANTIR TECH INC COM USD0.001 CLASS A</t>
  </si>
  <si>
    <t>PLTR</t>
  </si>
  <si>
    <t>PALO ALTO NETWORKS INC COM USD0.0001</t>
  </si>
  <si>
    <t>PANW</t>
  </si>
  <si>
    <t>PANDORA A/S DKK1</t>
  </si>
  <si>
    <t>PNDORA</t>
  </si>
  <si>
    <t>PARTNERS GROUP HLG AG CHF0.01 (REGD)</t>
  </si>
  <si>
    <t>PGHN</t>
  </si>
  <si>
    <t>PAYCHEX INC COM USD0.01</t>
  </si>
  <si>
    <t>PAYX</t>
  </si>
  <si>
    <t>PAYPAL HOLDINGS INC COM USD0.0001</t>
  </si>
  <si>
    <t>PYPL</t>
  </si>
  <si>
    <t>PDD HOLDINGS INC SPON ADS EACH REP 4 ORD SHS</t>
  </si>
  <si>
    <t>PDD</t>
  </si>
  <si>
    <t>PEARSON ORD GBP0.25</t>
  </si>
  <si>
    <t>PSON</t>
  </si>
  <si>
    <t>PEMBINA PIPELINE CORPORATION COM NPV</t>
  </si>
  <si>
    <t>PPL</t>
  </si>
  <si>
    <t>PENNON GROUP ORD GBP0.6105</t>
  </si>
  <si>
    <t>PNN</t>
  </si>
  <si>
    <t>PEPSICO INC CAP USD0.016666</t>
  </si>
  <si>
    <t>PEP</t>
  </si>
  <si>
    <t>PERNOD RICARD EUR1.55</t>
  </si>
  <si>
    <t>RI</t>
  </si>
  <si>
    <t>PERSHING SQUARE HOLDINGS LTD. ORD NPV</t>
  </si>
  <si>
    <t>PSH</t>
  </si>
  <si>
    <t>PERSIMMON ORD GBP0.10</t>
  </si>
  <si>
    <t>PSN</t>
  </si>
  <si>
    <t>PETROCHINA CO 'H'CNY1</t>
  </si>
  <si>
    <t>PFIZER INC COM USD0.05</t>
  </si>
  <si>
    <t>PFE</t>
  </si>
  <si>
    <t>PG&amp;E CORP COM NPV</t>
  </si>
  <si>
    <t>PHILIP MORRIS INTERNATIONAL INC COM NPV</t>
  </si>
  <si>
    <t>PM</t>
  </si>
  <si>
    <t>PHOENIX GROUP HOLDINGS PLC ORD GBP0.10</t>
  </si>
  <si>
    <t>PHNX</t>
  </si>
  <si>
    <t>PING AN INSURANCE(GROUP)CO.OF CHINA 'H' CNY1</t>
  </si>
  <si>
    <t>PINTEREST INC COM USD0.00001 CL A</t>
  </si>
  <si>
    <t>PINS</t>
  </si>
  <si>
    <t>PIRELLI &amp; C SPA NPV</t>
  </si>
  <si>
    <t>PIRC</t>
  </si>
  <si>
    <t>PLANET FITNESS INC COM USD0.0001 A</t>
  </si>
  <si>
    <t>PLNT</t>
  </si>
  <si>
    <t>PORSCHE AUTOMOBIL HOLDING SE NON VTG PRF NPV</t>
  </si>
  <si>
    <t>PAH3</t>
  </si>
  <si>
    <t>POSTE ITALIANE SPA NPV</t>
  </si>
  <si>
    <t>PST</t>
  </si>
  <si>
    <t>POWER ASSETS HOLDINGS LTD. NPV</t>
  </si>
  <si>
    <t>POWER CORP OF CANADA SUBORD VTG NPV</t>
  </si>
  <si>
    <t>POW</t>
  </si>
  <si>
    <t>PRICE T ROWE GROUPS COM USD0.20</t>
  </si>
  <si>
    <t>TROW</t>
  </si>
  <si>
    <t>PRIME MEDICINE INC COM USD0.00001</t>
  </si>
  <si>
    <t>PRME</t>
  </si>
  <si>
    <t>PROCTER &amp; GAMBLE CO COM NPV</t>
  </si>
  <si>
    <t>PG</t>
  </si>
  <si>
    <t>PROSHARES TRUST PSHS ULTRUSS2000</t>
  </si>
  <si>
    <t>UWM</t>
  </si>
  <si>
    <t>PROSHARES TRUST ULTRAPRO QQQ USD</t>
  </si>
  <si>
    <t>TQQQ</t>
  </si>
  <si>
    <t>PROSUS N.V. EUR0.05 (N SHARES)</t>
  </si>
  <si>
    <t>PROXIMUS SA NPV</t>
  </si>
  <si>
    <t>PROX</t>
  </si>
  <si>
    <t>PRUDENTIAL PLC GBP0.05</t>
  </si>
  <si>
    <t>PRYSMIAN SPA NPV</t>
  </si>
  <si>
    <t>PRY</t>
  </si>
  <si>
    <t>PUBLIC SERVICE ENTERPRISE GROUP INC COM NPV</t>
  </si>
  <si>
    <t>PEG</t>
  </si>
  <si>
    <t>PUBLICIS GROUPE SA EUR0.40</t>
  </si>
  <si>
    <t>PUB</t>
  </si>
  <si>
    <t>QUALCOMM INC COM USD0.0001</t>
  </si>
  <si>
    <t>QCOM</t>
  </si>
  <si>
    <t>QUEST DIAGNOSTICS INC COM USD0.01</t>
  </si>
  <si>
    <t>DGX</t>
  </si>
  <si>
    <t>RANDSTAD N.V. EUR0.10</t>
  </si>
  <si>
    <t>RAND</t>
  </si>
  <si>
    <t>RANGE RESOURCES CORP COM STK USD0.01</t>
  </si>
  <si>
    <t>RRC</t>
  </si>
  <si>
    <t>REALTY INCOME CORP COM STK USD1</t>
  </si>
  <si>
    <t>O</t>
  </si>
  <si>
    <t>RECKITT BENCKISER GROUP PLC ORD GBP0.10</t>
  </si>
  <si>
    <t>RKT</t>
  </si>
  <si>
    <t>RECORDATI EUR0.125</t>
  </si>
  <si>
    <t>REC</t>
  </si>
  <si>
    <t>RECURSION PHARMACEUTICALS INC COM USD0.00001 CL A</t>
  </si>
  <si>
    <t>RXRX</t>
  </si>
  <si>
    <t>REDEIA CORPORACION SA EUR0.5</t>
  </si>
  <si>
    <t>RED</t>
  </si>
  <si>
    <t>REGENCELL BIOSCIENCE HLDGS LTD COM USD0.01</t>
  </si>
  <si>
    <t>RGC</t>
  </si>
  <si>
    <t>REGENCY CENTERS CORP COM USD0.01</t>
  </si>
  <si>
    <t>REGENERON PHARMACEUTICALS INC COM STK USD0.001</t>
  </si>
  <si>
    <t>REGN</t>
  </si>
  <si>
    <t>REINSURANCE GROUP OF AMERICA COM USD0.01</t>
  </si>
  <si>
    <t>RGA</t>
  </si>
  <si>
    <t>RELX PLC ORD GBP0.1444</t>
  </si>
  <si>
    <t>REN</t>
  </si>
  <si>
    <t>REL</t>
  </si>
  <si>
    <t>REN-REDES ENERGETICAS NACIONAIS EUR1(REGD)</t>
  </si>
  <si>
    <t>RENE</t>
  </si>
  <si>
    <t>RENAISSANCERE HOLDINGS LTD COM STK USD1</t>
  </si>
  <si>
    <t>RNR</t>
  </si>
  <si>
    <t>RENAULT SA EUR3.81</t>
  </si>
  <si>
    <t>RNO</t>
  </si>
  <si>
    <t>RENTOKIL INITIAL ORD GBP0.01</t>
  </si>
  <si>
    <t>RTO</t>
  </si>
  <si>
    <t>RESMED INC COM STK USD0.004</t>
  </si>
  <si>
    <t>RESTAURANT BRANDS INTL INC COM NPV</t>
  </si>
  <si>
    <t>QSR</t>
  </si>
  <si>
    <t>RHEINMETALL AG NPV</t>
  </si>
  <si>
    <t>RHM</t>
  </si>
  <si>
    <t>RIGHTMOVE ORD GBP0.001</t>
  </si>
  <si>
    <t>RMV</t>
  </si>
  <si>
    <t>RINGCENTRAL INC COM USD0.0001 CL'A'</t>
  </si>
  <si>
    <t>RNG</t>
  </si>
  <si>
    <t>RIO TINTO ORD GBP0.10</t>
  </si>
  <si>
    <t>RIVIAN AUTOMOTIVE INC COM USD0.001 CL A</t>
  </si>
  <si>
    <t>RIVN</t>
  </si>
  <si>
    <t>ROBINHOOD MARKETS INC COM USD0.0001 CL A</t>
  </si>
  <si>
    <t>HOOD</t>
  </si>
  <si>
    <t>ROBLOX CORPORATION COM USD0.0001 CL A</t>
  </si>
  <si>
    <t>RBLX</t>
  </si>
  <si>
    <t>ROCHE HOLDINGS AG GENUSSCHEINE NPV</t>
  </si>
  <si>
    <t>ROG</t>
  </si>
  <si>
    <t>ROCKWELL AUTOMATION INC COM USD1</t>
  </si>
  <si>
    <t>ROK</t>
  </si>
  <si>
    <t>ROCKWOOL A/S SER'B'DKK10</t>
  </si>
  <si>
    <t>ROCK B</t>
  </si>
  <si>
    <t>ROGERS COMMUNICATIONS INC CLASS'B'COM CAD1.62478</t>
  </si>
  <si>
    <t>RCI.B</t>
  </si>
  <si>
    <t>ROKU INC COM USD0.0001 CLASS A</t>
  </si>
  <si>
    <t>ROKU</t>
  </si>
  <si>
    <t>ROLLS ROYCE HOLDINGS ORD GBP0.20</t>
  </si>
  <si>
    <t>RR.</t>
  </si>
  <si>
    <t>ROPER TECHNOLOGIES INC COM STK USD0.01</t>
  </si>
  <si>
    <t>ROP</t>
  </si>
  <si>
    <t>ROSS STORES INC COM STK USD0.01</t>
  </si>
  <si>
    <t>ROST</t>
  </si>
  <si>
    <t>ROYAL BANK OF CANADA COM NPV</t>
  </si>
  <si>
    <t>RY</t>
  </si>
  <si>
    <t>ROYAL CARIBBEAN GROUP COM USD0.01</t>
  </si>
  <si>
    <t>RCL</t>
  </si>
  <si>
    <t>ROYAL UNIBREW A/S DKK2</t>
  </si>
  <si>
    <t>RBREW</t>
  </si>
  <si>
    <t>RS GROUP PLC ORD GBP0.10</t>
  </si>
  <si>
    <t>RS1</t>
  </si>
  <si>
    <t>RTX CORPORATION COM USD1.00</t>
  </si>
  <si>
    <t>RTX</t>
  </si>
  <si>
    <t>RWE AG NPV</t>
  </si>
  <si>
    <t>RWE</t>
  </si>
  <si>
    <t>SAFRAN SA EUR0.20</t>
  </si>
  <si>
    <t>SAF</t>
  </si>
  <si>
    <t>SAINSBURY(J) ORD GBP0.28571428</t>
  </si>
  <si>
    <t>SBRY</t>
  </si>
  <si>
    <t>SAIPEM SPA NPV (POST SPLIT)</t>
  </si>
  <si>
    <t>SPM</t>
  </si>
  <si>
    <t>SALESFORCE INC COM USD0.001</t>
  </si>
  <si>
    <t>CRM</t>
  </si>
  <si>
    <t>SAMHALLSBYGGNADSBOLAGET I NORDEN AB SER'B'NPV</t>
  </si>
  <si>
    <t>SBB B</t>
  </si>
  <si>
    <t>SAMSUNG ELECTRONICS CO GDR EACH REP 25 COM STK KRW100(REG S)</t>
  </si>
  <si>
    <t>SMSN</t>
  </si>
  <si>
    <t>SANDS CHINA LTD USD0.01</t>
  </si>
  <si>
    <t>SANDVIK AB NPV</t>
  </si>
  <si>
    <t>SAND</t>
  </si>
  <si>
    <t>SANOFI EUR2</t>
  </si>
  <si>
    <t>SAN</t>
  </si>
  <si>
    <t>SAP SE ORD NPV</t>
  </si>
  <si>
    <t>SAP</t>
  </si>
  <si>
    <t>SAPUTO GROUP INC COM NPV</t>
  </si>
  <si>
    <t>SARTORIUS AG NON VTG PFD NPV</t>
  </si>
  <si>
    <t>SRT3</t>
  </si>
  <si>
    <t>SARTORIUS STEDIM BIOTECH EUR0.20</t>
  </si>
  <si>
    <t>DIM</t>
  </si>
  <si>
    <t>SATS LTD NPV</t>
  </si>
  <si>
    <t>S58</t>
  </si>
  <si>
    <t>SCHINDLER-HLDG AG CHF0.10 (PTG CERT)</t>
  </si>
  <si>
    <t>SCHP</t>
  </si>
  <si>
    <t>SCHLUMBERGER LIMITED COM USD0.01</t>
  </si>
  <si>
    <t>SLB</t>
  </si>
  <si>
    <t>SCHNEIDER ELECTRIC SE EUR4.00</t>
  </si>
  <si>
    <t>SU</t>
  </si>
  <si>
    <t>SCHRODERS PLC ORD GBP0.20</t>
  </si>
  <si>
    <t>SCHWAB(CHARLES)CORP COM USD0.01</t>
  </si>
  <si>
    <t>SCHW</t>
  </si>
  <si>
    <t>SCOTTISH MORTGAGE INV TRUST ORD GBP0.05</t>
  </si>
  <si>
    <t>SMT</t>
  </si>
  <si>
    <t>SEA LIMITED ADS EACH REP ONE CLASS A ORD SHS</t>
  </si>
  <si>
    <t>SE</t>
  </si>
  <si>
    <t>SEGRO PLC ORD GBP0.10</t>
  </si>
  <si>
    <t>SGRO</t>
  </si>
  <si>
    <t>SELECT SECTOR SPDR TRUST ENERGY</t>
  </si>
  <si>
    <t>XLE</t>
  </si>
  <si>
    <t>SEMAPA SOC INVEST E GESTAO SGPS NPV</t>
  </si>
  <si>
    <t>SEM</t>
  </si>
  <si>
    <t>SEMBCORP INDUSTRIES NPV</t>
  </si>
  <si>
    <t>U96</t>
  </si>
  <si>
    <t>SEMPRA COM STK NPV</t>
  </si>
  <si>
    <t>SRE</t>
  </si>
  <si>
    <t>SERVICENOW INC COM USD0.001</t>
  </si>
  <si>
    <t>NOW</t>
  </si>
  <si>
    <t>SEVERN TRENT ORD GBP0.9789</t>
  </si>
  <si>
    <t>SVT</t>
  </si>
  <si>
    <t>SGS SA CHF0.04 (REGD)</t>
  </si>
  <si>
    <t>SGSN</t>
  </si>
  <si>
    <t>SHARKNINJA INC COM USD0.0001</t>
  </si>
  <si>
    <t>SN</t>
  </si>
  <si>
    <t>SHELL PLC ORD EUR0.07</t>
  </si>
  <si>
    <t>SHELL</t>
  </si>
  <si>
    <t>SHEL</t>
  </si>
  <si>
    <t>SHENZHOU INTERNATIONAL GROUP HLDGS HKD0.10</t>
  </si>
  <si>
    <t>SHERWIN-WILLIAMS CO COM STK USD1</t>
  </si>
  <si>
    <t>SHW</t>
  </si>
  <si>
    <t>SHOPIFY INC COM NPV CL A</t>
  </si>
  <si>
    <t>SHOP</t>
  </si>
  <si>
    <t>SHOPIFY INC COM NPV CL A SUBORDINATE VOTING SHARES</t>
  </si>
  <si>
    <t>SIEMENS AG NPV(REGD)</t>
  </si>
  <si>
    <t>SIE</t>
  </si>
  <si>
    <t>SIEMENS ENERGY AG NPV</t>
  </si>
  <si>
    <t>SIEMENS HEALTHINEERS AG NPV</t>
  </si>
  <si>
    <t>SIKA AG CHF0.01 (REG)</t>
  </si>
  <si>
    <t>SIKA</t>
  </si>
  <si>
    <t>SIMON PROPERTY GROUP INC COM USD0.0001</t>
  </si>
  <si>
    <t>SINCH AB NPV</t>
  </si>
  <si>
    <t>SINCH</t>
  </si>
  <si>
    <t>SINGAPORE AIRLINES NPV</t>
  </si>
  <si>
    <t>C6L</t>
  </si>
  <si>
    <t>SINGAPORE EXCHANGE NPV</t>
  </si>
  <si>
    <t>S68</t>
  </si>
  <si>
    <t>SINGAPORE TECHNOLOGIES ENGINEERING NPV</t>
  </si>
  <si>
    <t>S63</t>
  </si>
  <si>
    <t>SINGAPORE TELECOMMUNICATIONS NPV(BOARD LOT 100)</t>
  </si>
  <si>
    <t>Z74</t>
  </si>
  <si>
    <t>SINO BIOPHARMACEUTICAL HKD0.025</t>
  </si>
  <si>
    <t>SIRIUSXM HOLDINGS INC COM USD0.001</t>
  </si>
  <si>
    <t>SIRI</t>
  </si>
  <si>
    <t>SKANDINAVISKA ENSKILDA BANKEN SER'A'NPV</t>
  </si>
  <si>
    <t>SEB A</t>
  </si>
  <si>
    <t>SKF AB SER'B'NPV</t>
  </si>
  <si>
    <t>SKF B</t>
  </si>
  <si>
    <t>SMITH &amp; NEPHEW PLC ORD USD0.20</t>
  </si>
  <si>
    <t>SN.</t>
  </si>
  <si>
    <t>SMITHS GROUP PLC ORD GBP0.375</t>
  </si>
  <si>
    <t>SMIN</t>
  </si>
  <si>
    <t>SNAM SPA NPV</t>
  </si>
  <si>
    <t>SNOWFLAKE INC COM USD0.0001</t>
  </si>
  <si>
    <t>SNOW</t>
  </si>
  <si>
    <t>SOCIETE GENERALE EUR1.25</t>
  </si>
  <si>
    <t>GLE</t>
  </si>
  <si>
    <t>SOFI TECHNOLOGIES INC COM USD0.0001 CL A</t>
  </si>
  <si>
    <t>SOFI</t>
  </si>
  <si>
    <t>SOFINA SA NPV</t>
  </si>
  <si>
    <t>SOF</t>
  </si>
  <si>
    <t>SOFTBANK GROUP CORP NPV</t>
  </si>
  <si>
    <t>SOLVAY SA NPV</t>
  </si>
  <si>
    <t>SOLB</t>
  </si>
  <si>
    <t>SONAE SGPS SA EUR1</t>
  </si>
  <si>
    <t>SON</t>
  </si>
  <si>
    <t>SONOVA HOLDING AG CHF0.05 (REGD)</t>
  </si>
  <si>
    <t>SOON</t>
  </si>
  <si>
    <t>SOUTH BOW CORPORATION COM NPV</t>
  </si>
  <si>
    <t>SOBO</t>
  </si>
  <si>
    <t>SOUTHERN CO. COM STK USD5</t>
  </si>
  <si>
    <t>SO</t>
  </si>
  <si>
    <t>SPIRAX GROUP PLC ORD GBP0.269230769</t>
  </si>
  <si>
    <t>SPOTIFY TECHNOLOGY S.A. COM EUR0.000625</t>
  </si>
  <si>
    <t>SPOT</t>
  </si>
  <si>
    <t>SPROTT ASSET MANAGEMENT LP SPROTT PHYSICAL URANIUM TR UNIT CAD</t>
  </si>
  <si>
    <t>U.UN</t>
  </si>
  <si>
    <t>SSE PLC GBP0.50</t>
  </si>
  <si>
    <t>SSE</t>
  </si>
  <si>
    <t>SSGA SPDR ETFS EUROPE II PLC S&amp;P US ENERGY SEL SECT UCITS ETF USD ACC</t>
  </si>
  <si>
    <t>SXLE</t>
  </si>
  <si>
    <t>ST JAMES'S PLACE PLC ORD GBP0.15</t>
  </si>
  <si>
    <t>STJ</t>
  </si>
  <si>
    <t>STAG INDUSTRIAL INC COM USD0.01</t>
  </si>
  <si>
    <t>STAG</t>
  </si>
  <si>
    <t>STANDARD CHARTERED PLC ORD USD0.50</t>
  </si>
  <si>
    <t>STAN</t>
  </si>
  <si>
    <t>STANLEY BLACK &amp; DECKER INC COM USD2.50</t>
  </si>
  <si>
    <t>SWK</t>
  </si>
  <si>
    <t>STARBUCKS CORP COM USD0.001</t>
  </si>
  <si>
    <t>SBUX</t>
  </si>
  <si>
    <t>STEEL DYNAMICS INC COM STK USD0.01</t>
  </si>
  <si>
    <t>STLD</t>
  </si>
  <si>
    <t>STELLANTIS N.V COM EUR0.01</t>
  </si>
  <si>
    <t>STLAM</t>
  </si>
  <si>
    <t>STLAP</t>
  </si>
  <si>
    <t>STMICROELECTRONICS EUR1.04</t>
  </si>
  <si>
    <t>STMMI</t>
  </si>
  <si>
    <t>STMPA</t>
  </si>
  <si>
    <t>STRATEGY INC COM USD0.001 CLASS A</t>
  </si>
  <si>
    <t>STRAUMANN HOLDING AG CHF0.01 (REGD) (POST SPLIT)</t>
  </si>
  <si>
    <t>STMN</t>
  </si>
  <si>
    <t>SUN HUNG KAI PROPERTIES LTD NPV</t>
  </si>
  <si>
    <t>SUN LIFE FINANCIAL INC COM NPV</t>
  </si>
  <si>
    <t>SUNCOR ENERGY INC COM NPV 'NEW'</t>
  </si>
  <si>
    <t>SUNNY OPTICAL TECHNOLOGY GROUP HKD0.10</t>
  </si>
  <si>
    <t>SUNSTONE HOTEL INVESTORS INC COM USD0.01</t>
  </si>
  <si>
    <t>SHO</t>
  </si>
  <si>
    <t>SVENSKA CELLULOSA AB-SCA SER'B'NPV</t>
  </si>
  <si>
    <t>SCA B</t>
  </si>
  <si>
    <t>SVENSKA HANDELSBANKEN AB SER'A'NPV</t>
  </si>
  <si>
    <t>SHB A</t>
  </si>
  <si>
    <t>SWATCH GROUP CHF0.45(REGD)</t>
  </si>
  <si>
    <t>UHRN</t>
  </si>
  <si>
    <t>SWEDBANK AB SER'A'NPV</t>
  </si>
  <si>
    <t>SWED A</t>
  </si>
  <si>
    <t>SWISS LIFE HOLDING AG CHF0.1 (REGD)</t>
  </si>
  <si>
    <t>SLHN</t>
  </si>
  <si>
    <t>SWISS RE AG CHF0.10</t>
  </si>
  <si>
    <t>SREN</t>
  </si>
  <si>
    <t>SWISSCOM AG CHF1(REGD)</t>
  </si>
  <si>
    <t>SCMN</t>
  </si>
  <si>
    <t>SYMRISE AG NPV (BR)</t>
  </si>
  <si>
    <t>SY1</t>
  </si>
  <si>
    <t>SYNOPSYS INC COM STK USD0.01</t>
  </si>
  <si>
    <t>SNPS</t>
  </si>
  <si>
    <t>T-MOBILE US INC COM USD0.00001</t>
  </si>
  <si>
    <t>TMUS</t>
  </si>
  <si>
    <t>TAG IMMOBILIEN AG NPV</t>
  </si>
  <si>
    <t>TEG</t>
  </si>
  <si>
    <t>TAIWAN SEMICONDUCTOR MANUFACTURING SPON ADS EACH REP 5 ORD TWD10</t>
  </si>
  <si>
    <t>TSM</t>
  </si>
  <si>
    <t>TARGET CORP COM STK USD0.0833</t>
  </si>
  <si>
    <t>TGT</t>
  </si>
  <si>
    <t>TAYLOR WIMPEY PLC ORD GBP0.01</t>
  </si>
  <si>
    <t>TW.</t>
  </si>
  <si>
    <t>TC ENERGY CORPORATION COM NPV</t>
  </si>
  <si>
    <t>TRP</t>
  </si>
  <si>
    <t>TECHTRONIC INDUSTRIES CO NPV</t>
  </si>
  <si>
    <t>TECK RESOURCES LIMITED CLASS'B'SUB VTG COM NPV</t>
  </si>
  <si>
    <t>TECK.B</t>
  </si>
  <si>
    <t>TELADOC HEALTH INC COM USD0.001</t>
  </si>
  <si>
    <t>TDOC</t>
  </si>
  <si>
    <t>TELE2 AB SER'B'NPV</t>
  </si>
  <si>
    <t>TEL2 B</t>
  </si>
  <si>
    <t>TELECOM ITALIA SPA NPV</t>
  </si>
  <si>
    <t>TIT</t>
  </si>
  <si>
    <t>TELEDYNE TECHNOLOGIES INC COM STK USD0.01</t>
  </si>
  <si>
    <t>TDY</t>
  </si>
  <si>
    <t>TELEPERFORMANCE SE EUR2.50</t>
  </si>
  <si>
    <t>TEP</t>
  </si>
  <si>
    <t>TELIA COMPANY AB NPV</t>
  </si>
  <si>
    <t>TELIA</t>
  </si>
  <si>
    <t>TELUS CORP COM NPV</t>
  </si>
  <si>
    <t>TEMENOS AG CHF5 (REGD)</t>
  </si>
  <si>
    <t>TEMN</t>
  </si>
  <si>
    <t>TENARIS S.A. USD1</t>
  </si>
  <si>
    <t>TEN</t>
  </si>
  <si>
    <t>TENCENT HOLDINGS LIMITED HKD0.00002</t>
  </si>
  <si>
    <t>TERADYNE INC COM USD0.125</t>
  </si>
  <si>
    <t>TEREX CORP COM STK USD0.01</t>
  </si>
  <si>
    <t>TEX</t>
  </si>
  <si>
    <t>TESCO ORD GBP0.0633333</t>
  </si>
  <si>
    <t>TSCO</t>
  </si>
  <si>
    <t>TESLA INC COM USD0.001</t>
  </si>
  <si>
    <t>TSLA</t>
  </si>
  <si>
    <t>TEVA PHARMACEUTICAL INDUSTRIES SPON ADS EACH REP 1 ORD SHS</t>
  </si>
  <si>
    <t>TEVA</t>
  </si>
  <si>
    <t>TEXAS INSTRUMENTS INC COM USD1.00</t>
  </si>
  <si>
    <t>TXN</t>
  </si>
  <si>
    <t>THAI BEVERAGE PUBLIC COMPANY LTD THB1</t>
  </si>
  <si>
    <t>Y92</t>
  </si>
  <si>
    <t>THALES SA EUR3</t>
  </si>
  <si>
    <t>HO</t>
  </si>
  <si>
    <t>THE SAGE GROUP PLC GBP0.01051948</t>
  </si>
  <si>
    <t>SGE</t>
  </si>
  <si>
    <t>THE TRADE DESK INC COM USD0.000001 CL A</t>
  </si>
  <si>
    <t>TTD</t>
  </si>
  <si>
    <t>THERMO FISHER SCIENTIFIC INC COM USD1</t>
  </si>
  <si>
    <t>TMO</t>
  </si>
  <si>
    <t>THOMSON-REUTERS CORP COM NPV( POST REV SPLIT)</t>
  </si>
  <si>
    <t>TRI</t>
  </si>
  <si>
    <t>TINGYI(CAYMAN ISLANDS)HLDG CORP ORD USD0.005</t>
  </si>
  <si>
    <t>TORONTO-DOMINION BANK COM NPV</t>
  </si>
  <si>
    <t>TD</t>
  </si>
  <si>
    <t>TOTALENERGIES SE EUR2.5</t>
  </si>
  <si>
    <t>TTE</t>
  </si>
  <si>
    <t>TOURMALINE OIL CORP COM NPV</t>
  </si>
  <si>
    <t>TOU</t>
  </si>
  <si>
    <t>TRANSMEDICS GROUP INC COM NPV</t>
  </si>
  <si>
    <t>TMDX</t>
  </si>
  <si>
    <t>TRASMISSIONE ELETTRICITA RETE NAZIO ORD EUR0.22</t>
  </si>
  <si>
    <t>TRN</t>
  </si>
  <si>
    <t>TRIP COM GROUP LTD USD0.00125</t>
  </si>
  <si>
    <t>TRYG A/S DKK5</t>
  </si>
  <si>
    <t>TRYG</t>
  </si>
  <si>
    <t>TWILIO INC COM USD0.001 CL A</t>
  </si>
  <si>
    <t>TWLO</t>
  </si>
  <si>
    <t>TWIST BIOSCIENCE CORPORATION COM USD0.00001</t>
  </si>
  <si>
    <t>TWST</t>
  </si>
  <si>
    <t>TYLER TECHNOLOGIES INC COM STK.USD0.01</t>
  </si>
  <si>
    <t>TYL</t>
  </si>
  <si>
    <t>UBER TECHNOLOGIES INC COM USD0.00001</t>
  </si>
  <si>
    <t>UBER</t>
  </si>
  <si>
    <t>UBS GROUP AG USD0.10 (REGD)</t>
  </si>
  <si>
    <t>UBSG</t>
  </si>
  <si>
    <t>UCB S.A. NPV</t>
  </si>
  <si>
    <t>UCB</t>
  </si>
  <si>
    <t>UIPATH INC COM USD0.00001 CL A</t>
  </si>
  <si>
    <t>PATH</t>
  </si>
  <si>
    <t>UMICORE NPV</t>
  </si>
  <si>
    <t>UMI</t>
  </si>
  <si>
    <t>UNIBAIL-RODAMCO-WESTFIELD NPV (1 ORD UNIBAIL-R &amp; 1CLASS A WFD)</t>
  </si>
  <si>
    <t>URW</t>
  </si>
  <si>
    <t>UNICREDIT SPA NPV</t>
  </si>
  <si>
    <t>UCG</t>
  </si>
  <si>
    <t>UNILEVER PLC ORD GBP0.031111</t>
  </si>
  <si>
    <t>UNA</t>
  </si>
  <si>
    <t>ULVR</t>
  </si>
  <si>
    <t>UNION PACIFIC CORP COM STK USD2.50</t>
  </si>
  <si>
    <t>UNP</t>
  </si>
  <si>
    <t>UNIPOL ASSICURAZIONI S.P.A. NPV</t>
  </si>
  <si>
    <t>UNITE GROUP ORD GBP0.25</t>
  </si>
  <si>
    <t>UTG</t>
  </si>
  <si>
    <t>UNITED AIRLINES HOLDINGS INC COM USD0.01</t>
  </si>
  <si>
    <t>UAL</t>
  </si>
  <si>
    <t>UNITED OVERSEAS BANK LTD NPV</t>
  </si>
  <si>
    <t>U11</t>
  </si>
  <si>
    <t>UNITED PARCEL SERVICE INC CLASS'B'COM STK USD0.01</t>
  </si>
  <si>
    <t>UPS</t>
  </si>
  <si>
    <t>UNITED UTILITIES GROUP PLC ORD GBP0.05</t>
  </si>
  <si>
    <t>UU.</t>
  </si>
  <si>
    <t>UNITEDHEALTH GROUP INC COM STK USD0.01</t>
  </si>
  <si>
    <t>UNH</t>
  </si>
  <si>
    <t>UNITY SOFTWARE INC COM USD0.000005</t>
  </si>
  <si>
    <t>U</t>
  </si>
  <si>
    <t>UNIVERSAL MUSIC GROUP N.V EUR10.00</t>
  </si>
  <si>
    <t>UMG</t>
  </si>
  <si>
    <t>UOL GROUP LIMITED NPV</t>
  </si>
  <si>
    <t>U14</t>
  </si>
  <si>
    <t>US BANCORP COM USD0.01</t>
  </si>
  <si>
    <t>USB</t>
  </si>
  <si>
    <t>VALERO ENERGY CORP COM STK USD0.01</t>
  </si>
  <si>
    <t>VLO</t>
  </si>
  <si>
    <t>VANECK UCITS ETFS PLC US FALLEN ANGEL HIGH YIELD BOND UCITS ET</t>
  </si>
  <si>
    <t>USFA</t>
  </si>
  <si>
    <t>VANGUARD ADMIRAL FDS INC S&amp;P SMALLCAP 600 INDEX FD ETF SHS</t>
  </si>
  <si>
    <t>VIOO</t>
  </si>
  <si>
    <t>VANGUARD FUNDS PLC FTSE DEVLPD EURP EX UK UCITS ETF EUR DIS</t>
  </si>
  <si>
    <t>VERX</t>
  </si>
  <si>
    <t>VAT GROUP AG CHF0.10 (REGD)</t>
  </si>
  <si>
    <t>VACN</t>
  </si>
  <si>
    <t>VENTURE CORPORATION LTD NPV</t>
  </si>
  <si>
    <t>V03</t>
  </si>
  <si>
    <t>VEOLIA ENVIRONNEMENT EUR5</t>
  </si>
  <si>
    <t>VIE</t>
  </si>
  <si>
    <t>VERACYTE INC COM USD0.001</t>
  </si>
  <si>
    <t>VCYT</t>
  </si>
  <si>
    <t>VERALTO CORPORATION COM USD0.01</t>
  </si>
  <si>
    <t>VLTO</t>
  </si>
  <si>
    <t>VERISK ANALYTICS INC COM USD0.001</t>
  </si>
  <si>
    <t>VRSK</t>
  </si>
  <si>
    <t>VERIZON COMMUNICATIONS COM USD0.10</t>
  </si>
  <si>
    <t>VZ</t>
  </si>
  <si>
    <t>VERTEX PHARMACEUTICAL COM STK USD0.01</t>
  </si>
  <si>
    <t>VRTX</t>
  </si>
  <si>
    <t>VESTAS WIND SYSTEMS DKK0.20</t>
  </si>
  <si>
    <t>VWS</t>
  </si>
  <si>
    <t>VICI PROPERTIES INC COM USD0.01</t>
  </si>
  <si>
    <t>VICI</t>
  </si>
  <si>
    <t>VINCI EUR2.50</t>
  </si>
  <si>
    <t>DG</t>
  </si>
  <si>
    <t>VISA INC COM STK USD0.0001 'A'</t>
  </si>
  <si>
    <t>V</t>
  </si>
  <si>
    <t>VIVENDI SE EUR0.55</t>
  </si>
  <si>
    <t>VIV</t>
  </si>
  <si>
    <t>VODAFONE GROUP ORD USD0.2095238</t>
  </si>
  <si>
    <t>VOD</t>
  </si>
  <si>
    <t>VOLKSWAGEN AG NON VTG PRF NPV</t>
  </si>
  <si>
    <t>VOW3</t>
  </si>
  <si>
    <t>VOLVO(AB) SER'B'NPV</t>
  </si>
  <si>
    <t>VOLV B</t>
  </si>
  <si>
    <t>VONOVIA SE NPV</t>
  </si>
  <si>
    <t>VNA</t>
  </si>
  <si>
    <t>WALMART INC COM USD0.10</t>
  </si>
  <si>
    <t>WMT</t>
  </si>
  <si>
    <t>WALT DISNEY COMPANY (THE) COM DISNEY USD0.01</t>
  </si>
  <si>
    <t>DIS</t>
  </si>
  <si>
    <t>WAREHOUSES DE PAUW SCA NPV</t>
  </si>
  <si>
    <t>WDP</t>
  </si>
  <si>
    <t>WARNER BROS DISCOVERY INC COM USD0.01 SER A</t>
  </si>
  <si>
    <t>WBD</t>
  </si>
  <si>
    <t>WASTE CONNECTIONS INC (CA) COM NPV</t>
  </si>
  <si>
    <t>WCN</t>
  </si>
  <si>
    <t>WASTE MANAGEMENT INC COM STK USD0.01</t>
  </si>
  <si>
    <t>WM</t>
  </si>
  <si>
    <t>WEC ENERGY GROUP INC COM USD0.01</t>
  </si>
  <si>
    <t>WEC</t>
  </si>
  <si>
    <t>WEIR GROUP ORD GBP0.125</t>
  </si>
  <si>
    <t>WEIR</t>
  </si>
  <si>
    <t>WELLS FARGO &amp; COMPANY COM USD1.666</t>
  </si>
  <si>
    <t>WFC</t>
  </si>
  <si>
    <t>WELLTOWER INC. COM USD1</t>
  </si>
  <si>
    <t>WELL</t>
  </si>
  <si>
    <t>WESTSHORE TERMINALS INVESTMENT CORP COM NPV</t>
  </si>
  <si>
    <t>WTE</t>
  </si>
  <si>
    <t>WH GROUP LIMITED USD0.0001</t>
  </si>
  <si>
    <t>WHARF REAL ESTATE INVESTMENT CO LTD HKD0.1</t>
  </si>
  <si>
    <t>WHEATON PRECIOUS METALS CORP COM NPV</t>
  </si>
  <si>
    <t>WPM</t>
  </si>
  <si>
    <t>WHITBREAD ORD GBP0.76797385</t>
  </si>
  <si>
    <t>WTB</t>
  </si>
  <si>
    <t>WILEY JOHN &amp; SONS INC COM USD1.00 CLASS A</t>
  </si>
  <si>
    <t>WLY</t>
  </si>
  <si>
    <t>WILLIAMS COMPANIES INC COM USD1.00</t>
  </si>
  <si>
    <t>WMB</t>
  </si>
  <si>
    <t>WILMAR INTERNATIONAL LTD NPV</t>
  </si>
  <si>
    <t>F34</t>
  </si>
  <si>
    <t>WOLTERS KLUWERS EUR0.12</t>
  </si>
  <si>
    <t>WKL</t>
  </si>
  <si>
    <t>WORKDAY INC COM USD0.001 CL A</t>
  </si>
  <si>
    <t>WDAY</t>
  </si>
  <si>
    <t>WORLDLINE EUR0.68</t>
  </si>
  <si>
    <t>WLN</t>
  </si>
  <si>
    <t>WPP PLC ORD GBP0.10</t>
  </si>
  <si>
    <t>WPP</t>
  </si>
  <si>
    <t>WSP GLOBAL INC COM NPV</t>
  </si>
  <si>
    <t>WSP</t>
  </si>
  <si>
    <t>WUXI BIOLOGICS (CAYMAN) INC USD0.0000083</t>
  </si>
  <si>
    <t>XCEL ENERGY INC COM USD2.5</t>
  </si>
  <si>
    <t>XEL</t>
  </si>
  <si>
    <t>XIAOMI CORPORATION USD0.0000025 B CLASS</t>
  </si>
  <si>
    <t>XINYI GLASS HLDGS HKD0.1</t>
  </si>
  <si>
    <t>XINYI SOLAR HOLDINGS LIMITED HKD0.10</t>
  </si>
  <si>
    <t>XPLR INFRASTRUCTURE LP COM UNIT LTD PARTNERSHIP INT</t>
  </si>
  <si>
    <t>XIFR</t>
  </si>
  <si>
    <t>YANGZIJIANG SHIPBUILDING NPV (SGD)</t>
  </si>
  <si>
    <t>BS6</t>
  </si>
  <si>
    <t>YETI HOLDINGS INC COM USD0.01</t>
  </si>
  <si>
    <t>YETI</t>
  </si>
  <si>
    <t>ZALANDO SE NPV</t>
  </si>
  <si>
    <t>ZAL</t>
  </si>
  <si>
    <t>ZEBRA TECHNOLOGIES CLASS'A'COM STK USD0.01</t>
  </si>
  <si>
    <t>ZBRA</t>
  </si>
  <si>
    <t>ZEEKR INTELLIGENT TECHNOLOGY HLDG L SPON ADS EA REP 10 ORD SHS</t>
  </si>
  <si>
    <t>ZK</t>
  </si>
  <si>
    <t>ZHONGSHENG GROUP HOLDINGS LIMITED HKD0.0001</t>
  </si>
  <si>
    <t>ZOETIS INC COM USD0.01 CL 'A'</t>
  </si>
  <si>
    <t>ZTS</t>
  </si>
  <si>
    <t>ZOOM COMMUNICATIONS INC COM USD0.001 CL A</t>
  </si>
  <si>
    <t>ZM</t>
  </si>
  <si>
    <t>ZSCALER INC COM USD0.001</t>
  </si>
  <si>
    <t>ZS</t>
  </si>
  <si>
    <t>ZURICH INSURANCE GROUP AG CHF0.10</t>
  </si>
  <si>
    <t>ZURN</t>
  </si>
  <si>
    <t>International Listed Securities</t>
  </si>
  <si>
    <t>Diversification Guideline 80%</t>
  </si>
  <si>
    <t>A maximum holding of 10% of the value of the member account in any single international listed security.</t>
  </si>
  <si>
    <t>Legend for Stock Exchanges</t>
  </si>
  <si>
    <t>Website</t>
  </si>
  <si>
    <t>XNYS - New York Stock Exchange</t>
  </si>
  <si>
    <t>http://www.nyse.com/</t>
  </si>
  <si>
    <t>XNAS  - National Association of Securities Dealers Automated Quotations Stock Market</t>
  </si>
  <si>
    <t>http://www.nasdaq.com/</t>
  </si>
  <si>
    <t>XLON  - London Stock Exchange</t>
  </si>
  <si>
    <t>http://www.londonstockexchange.com/</t>
  </si>
  <si>
    <t>XTSE  - Toronto Stock Exchange</t>
  </si>
  <si>
    <t>http://www.tmx.com/</t>
  </si>
  <si>
    <t>XHKG - Hong Kong Stock Exchange</t>
  </si>
  <si>
    <t>http://www.hkex.com.hk/</t>
  </si>
  <si>
    <t>XSES - Singapore Stock Exchange</t>
  </si>
  <si>
    <t>http://www.sgx.com/</t>
  </si>
  <si>
    <t>XPAR - Euronext Paris</t>
  </si>
  <si>
    <t>https://www.euronext.com/en/markets/paris</t>
  </si>
  <si>
    <t>XAMS - Euronext Amsterdam</t>
  </si>
  <si>
    <t>https://www.euronext.com/en/markets/amsterdam</t>
  </si>
  <si>
    <t>XBRU - Euronext Brussels</t>
  </si>
  <si>
    <t>https://live.euronext.com/en/markets/brussels</t>
  </si>
  <si>
    <t>XLIS - Euronext Lisbon</t>
  </si>
  <si>
    <t>https://live.euronext.com/en/markets/lisbon</t>
  </si>
  <si>
    <t>XFRA - Frankfurt Stock Exchange</t>
  </si>
  <si>
    <t>http://www.boerse-frankfurt.de/en</t>
  </si>
  <si>
    <t>XCSE - Copenhagen Stock Exchange</t>
  </si>
  <si>
    <t>https://www.nasdaqomxnordic.com/shares/listed-companies/copenhagen</t>
  </si>
  <si>
    <t>XSTO - Stockholm Stock Exchange</t>
  </si>
  <si>
    <t>https://www.nasdaqomxnordic.com/shares/listed-companies/stockholm</t>
  </si>
  <si>
    <t>XSWX - Six Swiss Stock Exchange</t>
  </si>
  <si>
    <t>https://www.six-group.com/en/products-services/the-swiss-stock-exchange/market-data.html</t>
  </si>
  <si>
    <t>XMIL - Borsa Italiana</t>
  </si>
  <si>
    <t>https://www.borsaitaliana.it/homepage/homepage.en.htm</t>
  </si>
  <si>
    <t>XTKS - Tokyo Stock Exchange</t>
  </si>
  <si>
    <t>https://www.jpx.co.jp/english/</t>
  </si>
  <si>
    <t>XMAD - Bolsa de Madrid</t>
  </si>
  <si>
    <t>https://www.bolsasymercados.es/bme-exchange/en</t>
  </si>
  <si>
    <t>XOSL - Oslo Stock Exchange</t>
  </si>
  <si>
    <t>https://www.euronext.com/en/markets/oslo</t>
  </si>
  <si>
    <t>XWBO - Vienna Stock Exchange</t>
  </si>
  <si>
    <t>https://www.wienerborse.at</t>
  </si>
  <si>
    <t>Some of the investments listed above may not be available to every investor.  To determine which investments are available to you, please speak to your adviser or contact us.</t>
  </si>
  <si>
    <t>Source ICE Data Services (“ICE Data”), is used with permission. ICE Data, its affiliates and their respective third party suppliers disclaim any and all warranties and representations, express and/or implied, including any warranties of merchantability or fitness for a particular purpose or use, including the indices, index data and any data included in, related to, or derived therefrom. Neither ICE Data, its affiliates nor their respective third party providers shall be subject to any damages or liability with respect to the adequacy, accuracy, timeliness or completeness of the indices or the index data or any component thereof, and the indices and index data and all components thereof are provided on an “as is” basis and your use is at your own risk. ICE Data, its affiliates and their respective third party suppliers do not sponsor, endorse, or recommend Colonial First State Investments Limited or Avanteos Investments Limited, or any of their products or services.</t>
  </si>
  <si>
    <t>Avanteos Investments Limited ABN 20 096 259 979, AFSL 245531 (AIL) is the trustee of the ‘Avanteos Superannuation Trust’ ABN 38 876 896 681 and issuer of CFS Edge Super and Pension. Colonial First State Investments Limited ABN 98 002 348 352, AFSL 232468 (CFSIL) is the Investor Directed Portfolio Service (IDPS) operator and custodian of ‘Avanteos Wrap Account Service’ which include CFS Edge Investments. This document may include general advice but does not take into account your individual objectives, financial situation or needs. The Target Market Determinations (TMD) for our financial products can be found at www.cfs.com.au/tmd and include a description of who a financial product is appropriate for. You should read the relevant Product Disclosure Statement (PDS), Investor Directed Portfolio Service Guide (IDPS Guide) and Financial Services Guide (FSG) carefully, assess whether the information is appropriate for you, and consider talking to a financial adviser before making an investment decision. The PDS, IDPS Guide and FSG can be obtained from your adviser, cfs.com.au/cfsedge or by calling us on 1300 769 619.</t>
  </si>
  <si>
    <t>The following currencies are available through CFS Edge:</t>
  </si>
  <si>
    <t>ISO Currency Code</t>
  </si>
  <si>
    <t>Currency</t>
  </si>
  <si>
    <t>AUD</t>
  </si>
  <si>
    <t>Australian Dollar</t>
  </si>
  <si>
    <t>CAD</t>
  </si>
  <si>
    <t>Canadian Dollar</t>
  </si>
  <si>
    <t>CHF</t>
  </si>
  <si>
    <t>Swiss Franc</t>
  </si>
  <si>
    <t>DKK</t>
  </si>
  <si>
    <t>Danish Krone</t>
  </si>
  <si>
    <t>EUR</t>
  </si>
  <si>
    <t>Euro</t>
  </si>
  <si>
    <t>GBP</t>
  </si>
  <si>
    <t>British Pound</t>
  </si>
  <si>
    <t>HKD</t>
  </si>
  <si>
    <t>Hong Kong Dollar</t>
  </si>
  <si>
    <t>Swedish Krona</t>
  </si>
  <si>
    <t>SGD</t>
  </si>
  <si>
    <t>Singapore Dollar</t>
  </si>
  <si>
    <t>US Dollar</t>
  </si>
  <si>
    <t>JPY</t>
  </si>
  <si>
    <t>Japanese Yen</t>
  </si>
  <si>
    <t>NOK</t>
  </si>
  <si>
    <t>Norwegian Krone</t>
  </si>
  <si>
    <t xml:space="preserve">International securities are purchased using the currency accepted by the exchange. If you do not hold the currency required to complete the trade, a conversion from an available currency will be completed prior to the trade. Currencies may be restricted to Managed Accounts.
</t>
  </si>
  <si>
    <t xml:space="preserve">Wholesale list </t>
  </si>
  <si>
    <t>As at  08 September 2025</t>
  </si>
  <si>
    <t>Privity Private Income Fund Class A Units AUD</t>
  </si>
  <si>
    <t>AMT2564AU</t>
  </si>
  <si>
    <t>Revolution Wholesale Private Debt Fund II Class B AUD</t>
  </si>
  <si>
    <t>CHN2868AU</t>
  </si>
  <si>
    <t>New Holland Tactical Alpha Fund (AUD) A AUD</t>
  </si>
  <si>
    <t>CHN8684AU</t>
  </si>
  <si>
    <t>Five V Capital Horizons Fund AUD</t>
  </si>
  <si>
    <t>FVC2938AU</t>
  </si>
  <si>
    <t>Ares Diversified Credit Fund AUD</t>
  </si>
  <si>
    <t>HOW7354AU</t>
  </si>
  <si>
    <t>iPartners Core Income Fund Series AUD</t>
  </si>
  <si>
    <t>IPN0040AU</t>
  </si>
  <si>
    <t>iPartners Investment Fund Series Units AUD</t>
  </si>
  <si>
    <t>IPN0768AU</t>
  </si>
  <si>
    <t>Macquarie Private Infrastructure Fund AUD</t>
  </si>
  <si>
    <t>MAQ8699AU</t>
  </si>
  <si>
    <t>Woodbridge Private Credit Fund AUD</t>
  </si>
  <si>
    <t>SWI9392AU</t>
  </si>
  <si>
    <t>MA Secured Loan Series Class A</t>
  </si>
  <si>
    <t>MAA7333AU</t>
  </si>
  <si>
    <t>MA Secured Loan Series Class B</t>
  </si>
  <si>
    <t>MAA5944AU</t>
  </si>
  <si>
    <t>New Holland Tactical Alpha Fund – Class B Units</t>
  </si>
  <si>
    <t>CHN7480AU</t>
  </si>
  <si>
    <t>Challenger IM Multi-Sector Private Lending Fund Class P AUD</t>
  </si>
  <si>
    <t>HOW6713AU</t>
  </si>
  <si>
    <t>Diversified Fixed Interest</t>
  </si>
  <si>
    <t>Fortlake Sigma Opportunities</t>
  </si>
  <si>
    <t>TAL1576AU</t>
  </si>
  <si>
    <t>BMYG Enhanced Income Fund^^</t>
  </si>
  <si>
    <t>BMY5511AU</t>
  </si>
  <si>
    <t>Hybrid Income Fund</t>
  </si>
  <si>
    <t>EVO3184AU</t>
  </si>
  <si>
    <t>Australian share – small companies</t>
  </si>
  <si>
    <t>Regal Australian Small Companies Fund</t>
  </si>
  <si>
    <t>RGL0004AU</t>
  </si>
  <si>
    <t xml:space="preserve">PEP Private Equity Gateway Fund </t>
  </si>
  <si>
    <t>PEP3457AU</t>
  </si>
  <si>
    <t xml:space="preserve">Roc Global Opportunities Access Trust </t>
  </si>
  <si>
    <t>ROC7938AU</t>
  </si>
  <si>
    <t>Bluebottle Bitcoin Plus Fund Australia AUD++</t>
  </si>
  <si>
    <t>QWF1678AU</t>
  </si>
  <si>
    <t>N/A</t>
  </si>
  <si>
    <t>StepStone Private Venture and Growth (Australia) Fund Class A (AUD) Units AUD</t>
  </si>
  <si>
    <t xml:space="preserve">PIM1432AU </t>
  </si>
  <si>
    <t>StepStone Private Infrastructure (Australia) Fund D Distributing AUD</t>
  </si>
  <si>
    <t>PIM4082AU</t>
  </si>
  <si>
    <t>EQT Multi-Access Series - EQT Nexus (AUD)</t>
  </si>
  <si>
    <t>CHN7430AU</t>
  </si>
  <si>
    <t>AIPX CARS Class (AUD) Hedged</t>
  </si>
  <si>
    <t>ETL1258AU</t>
  </si>
  <si>
    <t>Nuveen Global Cities Real Estate Fund (AUD) Class I Units^^</t>
  </si>
  <si>
    <t>PIM0045AU</t>
  </si>
  <si>
    <t>Sandon Capital Activist Fund</t>
  </si>
  <si>
    <t>FHT0010AU</t>
  </si>
  <si>
    <t>Kapstream Absolute Return Income Fund - Class I^^</t>
  </si>
  <si>
    <t>HOW0165AU</t>
  </si>
  <si>
    <t>Martin Currie Sustainable Equity Fund - Class M^^</t>
  </si>
  <si>
    <t>SSB0058AU</t>
  </si>
  <si>
    <t>Keyview Credit Opportunities Feed Fund</t>
  </si>
  <si>
    <t>RSM3124AU</t>
  </si>
  <si>
    <t>Princeton Property Income Fund</t>
  </si>
  <si>
    <t>PIM1505AU</t>
  </si>
  <si>
    <t>ISHARES BITCOIN TR COM NPV++</t>
  </si>
  <si>
    <t>IBIT</t>
  </si>
  <si>
    <t>iShares FTSE 250 UCITS ETF</t>
  </si>
  <si>
    <t>MIDD</t>
  </si>
  <si>
    <t>iShares MSCI UK Small Cap UCITS ETF</t>
  </si>
  <si>
    <t>CUKS</t>
  </si>
  <si>
    <t>iShares MSCI World GBP Hedged UCITS ETF</t>
  </si>
  <si>
    <t>IGWD</t>
  </si>
  <si>
    <t>iShares S&amp;P 500 GBP Hedged UCITS ETF</t>
  </si>
  <si>
    <t>IGUS</t>
  </si>
  <si>
    <t>iShares NASDAQ 100 UCITS ETF</t>
  </si>
  <si>
    <t>CNDX</t>
  </si>
  <si>
    <t>iShares MSCI Europe ex UK GBP Hedged UCITS ETF</t>
  </si>
  <si>
    <t>EUXS</t>
  </si>
  <si>
    <t>Vanguard FTSE Japan UCITS ETF</t>
  </si>
  <si>
    <t>VJPN</t>
  </si>
  <si>
    <t>Vanguard FTSE Emerging Markets UCITS ETF</t>
  </si>
  <si>
    <t>VFEM</t>
  </si>
  <si>
    <t>iShares UK Property UCTIS ETF</t>
  </si>
  <si>
    <t>IUKP</t>
  </si>
  <si>
    <t>SPDR Morningstar Multi-Asset Global Infrastructure UCTIS ETF</t>
  </si>
  <si>
    <t>GIN</t>
  </si>
  <si>
    <t>Vanguard U.K. Gilt UCTIS ETF</t>
  </si>
  <si>
    <t>VGOV</t>
  </si>
  <si>
    <t>iShares Core Corp Bond UCITS ETF GBP (Dist)</t>
  </si>
  <si>
    <t>SLXX</t>
  </si>
  <si>
    <t>iShares Global Corp Bond UCITS ETF Hedged GBP</t>
  </si>
  <si>
    <t>CRHG</t>
  </si>
  <si>
    <t>iShares Global High Yeild Corp Bond GBP Hedged UCITS ETF</t>
  </si>
  <si>
    <t>GHYS</t>
  </si>
  <si>
    <t>iShares GBP Ultrashort Bond UCITS ETF</t>
  </si>
  <si>
    <t>ERNS</t>
  </si>
  <si>
    <t>iShares Core FTSE 100 UCITS ETF GBP</t>
  </si>
  <si>
    <t>ISF</t>
  </si>
  <si>
    <t>BAILLIE GIFFORD CHINA GROWTH ORD</t>
  </si>
  <si>
    <t>BGCG</t>
  </si>
  <si>
    <t xml:space="preserve">ARK FINTECH INNOVATION ETF </t>
  </si>
  <si>
    <t>ARKF</t>
  </si>
  <si>
    <t>ARK NEXT GENERATION INTERNET ETF</t>
  </si>
  <si>
    <t>ARKW</t>
  </si>
  <si>
    <t>Vanguard Extended Duration Treasury ETF</t>
  </si>
  <si>
    <t>iShares 1-3 Year Treasury Bond ETF</t>
  </si>
  <si>
    <t>SHY</t>
  </si>
  <si>
    <t>Consumer Stapled Selector SPDR Fund</t>
  </si>
  <si>
    <t>XLP</t>
  </si>
  <si>
    <t>iShares 20+ Year Treasury Bond ETF</t>
  </si>
  <si>
    <t>TLT</t>
  </si>
  <si>
    <t>Vanguard Short-Term Treasury ETF</t>
  </si>
  <si>
    <t>VGSH</t>
  </si>
  <si>
    <t>Purpose Bitcoin ETF++</t>
  </si>
  <si>
    <t>BTCC</t>
  </si>
  <si>
    <t>Freshpet Inc</t>
  </si>
  <si>
    <t>FRPT</t>
  </si>
  <si>
    <t>Ferrari NV</t>
  </si>
  <si>
    <t>Tempus AI</t>
  </si>
  <si>
    <t>TEM</t>
  </si>
  <si>
    <t>Waste Connections, Inc</t>
  </si>
  <si>
    <t>Vanguard FTSE Japan UCITS ETF USD Dist</t>
  </si>
  <si>
    <t>Vanguard FTSE Emerging Mkts UCITS ETF USD Dis</t>
  </si>
  <si>
    <t>Vanguard FTSE Emerging Mkts UCITS ETF GBP Dis</t>
  </si>
  <si>
    <t>iShares Core S&amp;P Mid-Cap ETF</t>
  </si>
  <si>
    <t>iShares Core S&amp;P Small-Cap ETF</t>
  </si>
  <si>
    <t>iShares Morningstar U.S. Equity ETF</t>
  </si>
  <si>
    <t>ILCB</t>
  </si>
  <si>
    <t>iShares Russell Top 200 Growth ETF</t>
  </si>
  <si>
    <t>IWY</t>
  </si>
  <si>
    <t>Invesco Dynamic Large Cap Value ETF</t>
  </si>
  <si>
    <t>PWV</t>
  </si>
  <si>
    <t>Invesco S&amp;P 500 Equal Weight ETF</t>
  </si>
  <si>
    <t>RSP</t>
  </si>
  <si>
    <t>Schwab US Dividend Equity ETF</t>
  </si>
  <si>
    <t>SCHD</t>
  </si>
  <si>
    <t>The above list of approved wholesale investments are only available to Wholesale investors. You must qualify as a wholesale Investor prior to accessing these investments. Wholesale investors have access to investment options that are not available to retail clients.   For more information on how to qualify as a wholesale investor and the conditions that apply, you should refer to the CFS Edge Investments IDPS Guide and the Other Important Information brochure available at cfs.com.au/cfsedge.  Wholesale investment is not available for Super and Pension.</t>
  </si>
  <si>
    <t>These investments are funds offered under an information memorandum (IM).  Access to these investments are restricted to Wholesale clients as defined within the Corporactions Act 2001.  To obtain a copy of the relevant IM, please contact the issuer or speak to your adviser.</t>
  </si>
  <si>
    <t>Some wholesale funds may have a cap on the amount of money they can raise from investors.  When this occurs, the fund may immediately close to new investment and an investor’s purchase of units may subsequently be rejected.  Whilst we aim to continually monitor the status of these funds, we’re unable to guarantee an investment will remain active after this list is issued.  Please refer to the issuer’s website for up-to-date announcements or speak to your adviser.</t>
  </si>
  <si>
    <t xml:space="preserve">
++ Crypto-assets carry high risks compared to traditional investments due to extreme price volatility that can lead to substantial gains or losses of capital. There are also liquidity constraints in converting large crypto holdings into fiat currency quickly, and the risk of being invested in certain investment products (e.g. ETFs) where currency is affected by exchange rate fluctuations in foreign markets.
Other risks include:
* crypto-assets experiencing regulatory uncertainty as government actions can significantly impact crypto values, including potential bans
* significant vulnerabilities such as the risk of losing access to crypto assets if private keys are compromised (Custodial risk)
* cybersecurity vulnerabilities with crypto infrastructure and unproven blockchain technology (Technology risk)
* cryptocurrencies operate on immutable blockchains, meaning unauthorized transfers cannot be reversed.
* the impact crypto assets have on the environment and the potential for increased regulation or negative sentiment.
You can find more information on the risks associated with your selected investment in the investment’s disclosure documents/prospectus, available on request from your adviser. You should also refer to the Other Important Information brochure for risks associated with different investment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</si>
</sst>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b/>
      <sz val="11"/>
      <name val="Calibri"/>
      <family val="2"/>
    </font>
    <font>
      <b/>
      <sz val="18"/>
      <name val="Calibri"/>
      <family val="2"/>
    </font>
    <font>
      <b/>
      <sz val="12"/>
      <name val="Calibri"/>
      <family val="2"/>
    </font>
    <font>
      <sz val="11"/>
      <name val="Calibri"/>
      <family val="2"/>
    </font>
    <font>
      <u/>
      <sz val="11"/>
      <color rgb="FF0070C0"/>
      <name val="Calibri"/>
      <family val="2"/>
    </font>
    <font>
      <sz val="10"/>
      <name val="Segoe UI"/>
      <family val="2"/>
    </font>
    <font>
      <u/>
      <sz val="11"/>
      <color rgb="FF0000FF"/>
      <name val="Calibri"/>
      <family val="2"/>
    </font>
    <font>
      <b/>
      <vertAlign val="superscript"/>
      <sz val="11"/>
      <name val="Calibri"/>
      <family val="2"/>
    </font>
    <font>
      <sz val="11"/>
      <color rgb="FF333333"/>
      <name val="Segoe UI"/>
      <family val="2"/>
    </font>
    <font>
      <u/>
      <sz val="11"/>
      <color theme="10"/>
      <name val="Calibri"/>
      <family val="2"/>
    </font>
    <font>
      <u/>
      <sz val="11"/>
      <color theme="10"/>
      <name val="Calibri"/>
      <family val="2"/>
    </font>
    <font>
      <sz val="11"/>
      <color rgb="FF000000"/>
      <name val="Calibri"/>
      <family val="2"/>
      <charset val="1"/>
    </font>
    <font>
      <sz val="11"/>
      <color theme="1"/>
      <name val="Aptos"/>
      <family val="2"/>
    </font>
  </fonts>
  <fills count="2">
    <fill>
      <patternFill patternType="none"/>
    </fill>
    <fill>
      <patternFill patternType="gray125"/>
    </fill>
  </fills>
  <borders count="17">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13" fillId="0" borderId="0" applyNumberFormat="0" applyFill="0" applyBorder="0" applyAlignment="0" applyProtection="0"/>
    <xf numFmtId="0" fontId="3" fillId="0" borderId="0"/>
    <xf numFmtId="0" fontId="14" fillId="0" borderId="0" applyNumberFormat="0" applyFill="0" applyBorder="0" applyAlignment="0" applyProtection="0"/>
    <xf numFmtId="0" fontId="2" fillId="0" borderId="0"/>
    <xf numFmtId="0" fontId="13" fillId="0" borderId="0" applyNumberFormat="0" applyFill="0" applyBorder="0" applyAlignment="0" applyProtection="0"/>
    <xf numFmtId="0" fontId="1" fillId="0" borderId="0"/>
    <xf numFmtId="0" fontId="7" fillId="0" borderId="0"/>
  </cellStyleXfs>
  <cellXfs count="97">
    <xf numFmtId="0" fontId="0" fillId="0" borderId="0" xfId="0"/>
    <xf numFmtId="0" fontId="0" fillId="0" borderId="0" xfId="0" applyAlignment="1">
      <alignment wrapText="1"/>
    </xf>
    <xf numFmtId="0" fontId="5" fillId="0" borderId="0" xfId="0" applyFont="1"/>
    <xf numFmtId="0" fontId="6" fillId="0" borderId="0" xfId="0" applyFont="1" applyAlignment="1">
      <alignment wrapText="1"/>
    </xf>
    <xf numFmtId="0" fontId="0" fillId="0" borderId="0" xfId="0" applyAlignment="1">
      <alignment horizontal="left" wrapText="1"/>
    </xf>
    <xf numFmtId="0" fontId="7" fillId="0" borderId="0" xfId="0" applyFont="1" applyAlignment="1">
      <alignment wrapText="1"/>
    </xf>
    <xf numFmtId="0" fontId="4" fillId="0" borderId="0" xfId="0" applyFont="1" applyAlignment="1">
      <alignment vertical="center"/>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wrapText="1"/>
    </xf>
    <xf numFmtId="0" fontId="8" fillId="0" borderId="0" xfId="0" applyFont="1" applyAlignment="1">
      <alignment horizontal="left" wrapText="1"/>
    </xf>
    <xf numFmtId="0" fontId="7" fillId="0" borderId="0" xfId="0" applyFont="1" applyAlignment="1">
      <alignment horizontal="left" wrapText="1"/>
    </xf>
    <xf numFmtId="2"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horizontal="right" vertical="center" wrapText="1"/>
    </xf>
    <xf numFmtId="1" fontId="4" fillId="0" borderId="0" xfId="0" applyNumberFormat="1" applyFont="1" applyAlignment="1">
      <alignment horizontal="left" vertical="center" wrapText="1"/>
    </xf>
    <xf numFmtId="0" fontId="7" fillId="0" borderId="0" xfId="0" applyFont="1" applyAlignment="1">
      <alignment horizontal="right" wrapText="1"/>
    </xf>
    <xf numFmtId="2" fontId="4" fillId="0" borderId="0" xfId="0" applyNumberFormat="1" applyFont="1" applyAlignment="1">
      <alignment horizontal="left" vertical="center" wrapText="1"/>
    </xf>
    <xf numFmtId="2" fontId="4" fillId="0" borderId="0" xfId="0" applyNumberFormat="1" applyFont="1" applyAlignment="1">
      <alignment horizontal="left" vertical="center"/>
    </xf>
    <xf numFmtId="0" fontId="4" fillId="0" borderId="0" xfId="0" applyFont="1" applyAlignment="1">
      <alignment horizontal="left" vertical="top" wrapText="1"/>
    </xf>
    <xf numFmtId="0" fontId="9" fillId="0" borderId="0" xfId="0" applyFont="1" applyAlignment="1">
      <alignment vertical="center" wrapText="1"/>
    </xf>
    <xf numFmtId="0" fontId="7" fillId="0" borderId="0" xfId="1"/>
    <xf numFmtId="0" fontId="4" fillId="0" borderId="0" xfId="1" applyFont="1" applyAlignment="1">
      <alignment wrapText="1"/>
    </xf>
    <xf numFmtId="0" fontId="4" fillId="0" borderId="0" xfId="0" applyFont="1" applyAlignment="1">
      <alignment horizontal="left" wrapText="1"/>
    </xf>
    <xf numFmtId="2" fontId="7" fillId="0" borderId="0" xfId="0" applyNumberFormat="1" applyFont="1" applyAlignment="1">
      <alignment horizontal="left" vertical="center" wrapText="1"/>
    </xf>
    <xf numFmtId="1" fontId="7" fillId="0" borderId="0" xfId="0" applyNumberFormat="1" applyFont="1" applyAlignment="1">
      <alignment horizontal="left" vertical="center" wrapText="1"/>
    </xf>
    <xf numFmtId="1" fontId="0" fillId="0" borderId="0" xfId="0" applyNumberFormat="1" applyAlignment="1">
      <alignment horizontal="left" wrapText="1"/>
    </xf>
    <xf numFmtId="0" fontId="10" fillId="0" borderId="0" xfId="0" applyFont="1" applyAlignment="1">
      <alignment wrapText="1"/>
    </xf>
    <xf numFmtId="2" fontId="7" fillId="0" borderId="0" xfId="0" applyNumberFormat="1" applyFont="1" applyAlignment="1">
      <alignment vertical="center" wrapText="1"/>
    </xf>
    <xf numFmtId="164" fontId="7" fillId="0" borderId="0" xfId="0" applyNumberFormat="1" applyFont="1" applyAlignment="1">
      <alignment vertical="center" wrapText="1"/>
    </xf>
    <xf numFmtId="0" fontId="0" fillId="0" borderId="0" xfId="0" applyAlignment="1">
      <alignment horizontal="left" vertical="top" wrapText="1"/>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0" xfId="0" applyFont="1" applyAlignment="1">
      <alignment vertical="center"/>
    </xf>
    <xf numFmtId="0" fontId="4" fillId="0" borderId="0" xfId="0" applyFont="1"/>
    <xf numFmtId="0" fontId="4" fillId="0" borderId="0" xfId="1" applyFont="1" applyAlignment="1">
      <alignment vertical="top" wrapText="1"/>
    </xf>
    <xf numFmtId="0" fontId="7" fillId="0" borderId="0" xfId="0" applyFont="1"/>
    <xf numFmtId="0" fontId="4"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xf>
    <xf numFmtId="0" fontId="12" fillId="0" borderId="0" xfId="0" applyFont="1"/>
    <xf numFmtId="0" fontId="13" fillId="0" borderId="0" xfId="2" applyAlignment="1">
      <alignment wrapText="1"/>
    </xf>
    <xf numFmtId="2" fontId="4" fillId="0" borderId="0" xfId="1" applyNumberFormat="1" applyFont="1" applyAlignment="1">
      <alignment horizontal="left" vertical="center" wrapText="1"/>
    </xf>
    <xf numFmtId="0" fontId="3" fillId="0" borderId="0" xfId="3"/>
    <xf numFmtId="0" fontId="7" fillId="0" borderId="0" xfId="1" applyAlignment="1">
      <alignment wrapText="1"/>
    </xf>
    <xf numFmtId="10" fontId="0" fillId="0" borderId="0" xfId="0" applyNumberFormat="1" applyAlignment="1">
      <alignment wrapText="1"/>
    </xf>
    <xf numFmtId="0" fontId="4" fillId="0" borderId="0" xfId="0" applyFont="1" applyAlignment="1">
      <alignment horizontal="left" vertical="center" wrapText="1"/>
    </xf>
    <xf numFmtId="0" fontId="0" fillId="0" borderId="0" xfId="0" applyAlignment="1">
      <alignment wrapText="1"/>
    </xf>
    <xf numFmtId="0" fontId="4" fillId="0" borderId="3" xfId="0" applyFont="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8" xfId="0" applyFont="1" applyBorder="1" applyAlignment="1">
      <alignment vertical="center" wrapText="1"/>
    </xf>
    <xf numFmtId="0" fontId="7" fillId="0" borderId="0" xfId="0" applyFont="1" applyAlignment="1">
      <alignment wrapText="1"/>
    </xf>
    <xf numFmtId="0" fontId="0" fillId="0" borderId="0" xfId="0"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wrapText="1"/>
    </xf>
    <xf numFmtId="0" fontId="4" fillId="0" borderId="0" xfId="0" applyFont="1" applyAlignment="1">
      <alignment wrapText="1"/>
    </xf>
    <xf numFmtId="0" fontId="4" fillId="0" borderId="12" xfId="0" applyFont="1" applyBorder="1" applyAlignment="1">
      <alignment horizontal="left" vertical="top"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7" fillId="0" borderId="0" xfId="1" applyAlignment="1">
      <alignment horizontal="left" vertical="top" wrapText="1"/>
    </xf>
    <xf numFmtId="0" fontId="4" fillId="0" borderId="0" xfId="1" applyFont="1" applyAlignment="1">
      <alignment horizontal="left" vertical="top" wrapText="1"/>
    </xf>
    <xf numFmtId="0" fontId="4" fillId="0" borderId="3" xfId="1" applyFont="1" applyBorder="1" applyAlignment="1">
      <alignment vertical="center" wrapText="1"/>
    </xf>
    <xf numFmtId="0" fontId="4" fillId="0" borderId="1" xfId="1" applyFont="1" applyBorder="1" applyAlignment="1">
      <alignment vertical="center" wrapText="1"/>
    </xf>
    <xf numFmtId="0" fontId="4" fillId="0" borderId="6" xfId="1" applyFont="1" applyBorder="1" applyAlignment="1">
      <alignment vertical="center" wrapText="1"/>
    </xf>
    <xf numFmtId="0" fontId="4" fillId="0" borderId="4" xfId="1" applyFont="1" applyBorder="1" applyAlignment="1">
      <alignment vertical="center" wrapText="1"/>
    </xf>
    <xf numFmtId="0" fontId="4" fillId="0" borderId="0" xfId="1" applyFont="1" applyAlignment="1">
      <alignment vertical="center" wrapText="1"/>
    </xf>
    <xf numFmtId="0" fontId="4" fillId="0" borderId="7" xfId="1" applyFont="1" applyBorder="1" applyAlignment="1">
      <alignment vertical="center" wrapText="1"/>
    </xf>
    <xf numFmtId="0" fontId="4" fillId="0" borderId="5" xfId="1" applyFont="1" applyBorder="1" applyAlignment="1">
      <alignment vertical="center" wrapText="1"/>
    </xf>
    <xf numFmtId="0" fontId="4" fillId="0" borderId="2" xfId="1" applyFont="1" applyBorder="1" applyAlignment="1">
      <alignment vertical="center" wrapText="1"/>
    </xf>
    <xf numFmtId="0" fontId="4" fillId="0" borderId="8" xfId="1" applyFont="1" applyBorder="1" applyAlignment="1">
      <alignment vertical="center" wrapText="1"/>
    </xf>
    <xf numFmtId="0" fontId="5" fillId="0" borderId="0" xfId="1" applyFont="1"/>
    <xf numFmtId="0" fontId="6" fillId="0" borderId="0" xfId="1" applyFont="1" applyAlignment="1">
      <alignment wrapText="1"/>
    </xf>
    <xf numFmtId="0" fontId="1" fillId="0" borderId="0" xfId="7"/>
    <xf numFmtId="0" fontId="0" fillId="0" borderId="0" xfId="7" applyFont="1"/>
    <xf numFmtId="0" fontId="15" fillId="0" borderId="0" xfId="7" applyFont="1"/>
    <xf numFmtId="0" fontId="7" fillId="0" borderId="0" xfId="7" applyFont="1" applyAlignment="1">
      <alignment wrapText="1"/>
    </xf>
    <xf numFmtId="0" fontId="4" fillId="0" borderId="0" xfId="8" applyFont="1" applyAlignment="1">
      <alignment vertical="center" wrapText="1"/>
    </xf>
    <xf numFmtId="0" fontId="4" fillId="0" borderId="0" xfId="8" applyFont="1" applyAlignment="1">
      <alignment horizontal="left" vertical="top" wrapText="1"/>
    </xf>
    <xf numFmtId="0" fontId="4" fillId="0" borderId="0" xfId="8" applyFont="1" applyAlignment="1">
      <alignment horizontal="left" wrapText="1"/>
    </xf>
    <xf numFmtId="0" fontId="4" fillId="0" borderId="0" xfId="8" applyFont="1" applyAlignment="1">
      <alignment wrapText="1"/>
    </xf>
    <xf numFmtId="0" fontId="7" fillId="0" borderId="0" xfId="8" applyAlignment="1">
      <alignment wrapText="1"/>
    </xf>
    <xf numFmtId="0" fontId="16" fillId="0" borderId="0" xfId="7" applyFont="1"/>
    <xf numFmtId="0" fontId="4" fillId="0" borderId="0" xfId="1" applyFont="1"/>
    <xf numFmtId="0" fontId="7" fillId="0" borderId="0" xfId="7" applyFont="1"/>
    <xf numFmtId="0" fontId="4" fillId="0" borderId="0" xfId="8" applyFont="1" applyAlignment="1">
      <alignment wrapText="1"/>
    </xf>
  </cellXfs>
  <cellStyles count="9">
    <cellStyle name="Hyperlink" xfId="2" builtinId="8"/>
    <cellStyle name="Hyperlink 2" xfId="4" xr:uid="{D7D25A0B-3294-496D-8F29-481778124A6E}"/>
    <cellStyle name="Hyperlink 2 2" xfId="6" xr:uid="{853F928E-73F8-4871-AA9F-CBC1F3383B72}"/>
    <cellStyle name="Normal" xfId="0" builtinId="0"/>
    <cellStyle name="Normal 2" xfId="1" xr:uid="{1D90AD75-9F9D-45E5-9A27-454BB0748658}"/>
    <cellStyle name="Normal 3" xfId="3" xr:uid="{B44C1A10-08E6-4EC8-A66F-FD7080BBBE94}"/>
    <cellStyle name="Normal 3 2" xfId="5" xr:uid="{7C02A32F-F247-4996-96AB-07799AE6A686}"/>
    <cellStyle name="Normal 3 3" xfId="7" xr:uid="{A37F0F72-65E7-4031-92FC-3EABA1EAB479}"/>
    <cellStyle name="Normal 4" xfId="8" xr:uid="{EEB1DD3A-0AA7-46E1-AA90-AC5511AEFCA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2312352</xdr:colOff>
      <xdr:row>4</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2317115</xdr:colOff>
      <xdr:row>3</xdr:row>
      <xdr:rowOff>171450</xdr:rowOff>
    </xdr:to>
    <xdr:pic>
      <xdr:nvPicPr>
        <xdr:cNvPr id="2" name="Picture 1">
          <a:extLst>
            <a:ext uri="{FF2B5EF4-FFF2-40B4-BE49-F238E27FC236}">
              <a16:creationId xmlns:a16="http://schemas.microsoft.com/office/drawing/2014/main" id="{A30093B0-7AF7-44B2-A27C-388D888EBE4E}"/>
            </a:ext>
          </a:extLst>
        </xdr:cNvPr>
        <xdr:cNvPicPr>
          <a:picLocks noChangeAspect="1"/>
        </xdr:cNvPicPr>
      </xdr:nvPicPr>
      <xdr:blipFill>
        <a:blip xmlns:r="http://schemas.openxmlformats.org/officeDocument/2006/relationships" r:embed="rId1" cstate="print"/>
        <a:stretch>
          <a:fillRect/>
        </a:stretch>
      </xdr:blipFill>
      <xdr:spPr>
        <a:xfrm>
          <a:off x="19050" y="19050"/>
          <a:ext cx="2298065" cy="72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2312352</xdr:colOff>
      <xdr:row>4</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9050" y="19050"/>
          <a:ext cx="2286000" cy="742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2293302</xdr:colOff>
      <xdr:row>4</xdr:row>
      <xdr:rowOff>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2293302</xdr:colOff>
      <xdr:row>4</xdr:row>
      <xdr:rowOff>0</xdr:rowOff>
    </xdr:to>
    <xdr:pic>
      <xdr:nvPicPr>
        <xdr:cNvPr id="3" name="Picture 2">
          <a:extLst>
            <a:ext uri="{FF2B5EF4-FFF2-40B4-BE49-F238E27FC236}">
              <a16:creationId xmlns:a16="http://schemas.microsoft.com/office/drawing/2014/main" id="{287F3BD9-AEF2-4493-B2F3-831302640086}"/>
            </a:ext>
          </a:extLst>
        </xdr:cNvPr>
        <xdr:cNvPicPr>
          <a:picLocks noChangeAspect="1"/>
        </xdr:cNvPicPr>
      </xdr:nvPicPr>
      <xdr:blipFill>
        <a:blip xmlns:r="http://schemas.openxmlformats.org/officeDocument/2006/relationships" r:embed="rId1" cstate="print"/>
        <a:stretch>
          <a:fillRect/>
        </a:stretch>
      </xdr:blipFill>
      <xdr:spPr>
        <a:xfrm>
          <a:off x="19050" y="19050"/>
          <a:ext cx="2282190" cy="74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2282190</xdr:colOff>
      <xdr:row>3</xdr:row>
      <xdr:rowOff>176530</xdr:rowOff>
    </xdr:to>
    <xdr:pic>
      <xdr:nvPicPr>
        <xdr:cNvPr id="3" name="Picture 2">
          <a:extLst>
            <a:ext uri="{FF2B5EF4-FFF2-40B4-BE49-F238E27FC236}">
              <a16:creationId xmlns:a16="http://schemas.microsoft.com/office/drawing/2014/main" id="{9EB04650-FC99-49E0-B8FF-4C20FDE0927D}"/>
            </a:ext>
          </a:extLst>
        </xdr:cNvPr>
        <xdr:cNvPicPr>
          <a:picLocks noChangeAspect="1"/>
        </xdr:cNvPicPr>
      </xdr:nvPicPr>
      <xdr:blipFill>
        <a:blip xmlns:r="http://schemas.openxmlformats.org/officeDocument/2006/relationships" r:embed="rId1" cstate="print"/>
        <a:stretch>
          <a:fillRect/>
        </a:stretch>
      </xdr:blipFill>
      <xdr:spPr>
        <a:xfrm>
          <a:off x="0" y="0"/>
          <a:ext cx="2282190" cy="742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Q769"/>
  <sheetViews>
    <sheetView tabSelected="1" zoomScale="80" zoomScaleNormal="80" workbookViewId="0">
      <selection activeCell="K10" sqref="K10"/>
    </sheetView>
  </sheetViews>
  <sheetFormatPr defaultColWidth="15.5703125" defaultRowHeight="15" x14ac:dyDescent="0.25"/>
  <cols>
    <col min="1" max="1" width="40.5703125" style="1" customWidth="1"/>
    <col min="2" max="2" width="60.5703125" style="1" customWidth="1"/>
    <col min="3" max="3" width="15.5703125" style="1" customWidth="1"/>
    <col min="4" max="4" width="15.28515625" style="1" customWidth="1"/>
    <col min="5" max="5" width="15.7109375" style="1" bestFit="1" customWidth="1"/>
    <col min="6" max="6" width="7.5703125" style="1" customWidth="1"/>
    <col min="7" max="7" width="15.5703125" style="1" customWidth="1"/>
    <col min="8" max="8" width="20.5703125" customWidth="1"/>
    <col min="9" max="16" width="25.5703125" style="1" customWidth="1"/>
    <col min="17" max="17" width="15.5703125" style="1" customWidth="1"/>
    <col min="18" max="16384" width="15.5703125" style="1"/>
  </cols>
  <sheetData>
    <row r="5" spans="1:17" ht="15.75" thickBot="1" x14ac:dyDescent="0.3"/>
    <row r="6" spans="1:17" ht="15" customHeight="1" thickTop="1" x14ac:dyDescent="0.25">
      <c r="A6" s="48" t="s">
        <v>0</v>
      </c>
      <c r="B6" s="49"/>
      <c r="C6" s="49"/>
      <c r="D6" s="49"/>
      <c r="E6" s="49"/>
      <c r="F6" s="49"/>
      <c r="G6" s="49"/>
      <c r="H6" s="49"/>
      <c r="I6" s="49"/>
      <c r="J6" s="49"/>
      <c r="K6" s="49"/>
      <c r="L6" s="49"/>
      <c r="M6" s="49"/>
      <c r="N6" s="49"/>
      <c r="O6" s="49"/>
      <c r="P6" s="50"/>
    </row>
    <row r="7" spans="1:17" x14ac:dyDescent="0.25">
      <c r="A7" s="51"/>
      <c r="B7" s="52"/>
      <c r="C7" s="52"/>
      <c r="D7" s="52"/>
      <c r="E7" s="52"/>
      <c r="F7" s="52"/>
      <c r="G7" s="52"/>
      <c r="H7" s="52"/>
      <c r="I7" s="52"/>
      <c r="J7" s="52"/>
      <c r="K7" s="52"/>
      <c r="L7" s="52"/>
      <c r="M7" s="52"/>
      <c r="N7" s="52"/>
      <c r="O7" s="52"/>
      <c r="P7" s="53"/>
    </row>
    <row r="8" spans="1:17" ht="15.75" thickBot="1" x14ac:dyDescent="0.3">
      <c r="A8" s="54"/>
      <c r="B8" s="55"/>
      <c r="C8" s="55"/>
      <c r="D8" s="55"/>
      <c r="E8" s="55"/>
      <c r="F8" s="55"/>
      <c r="G8" s="55"/>
      <c r="H8" s="55"/>
      <c r="I8" s="55"/>
      <c r="J8" s="55"/>
      <c r="K8" s="55"/>
      <c r="L8" s="55"/>
      <c r="M8" s="55"/>
      <c r="N8" s="55"/>
      <c r="O8" s="55"/>
      <c r="P8" s="56"/>
    </row>
    <row r="10" spans="1:17" ht="23.25" x14ac:dyDescent="0.35">
      <c r="A10" s="2" t="s">
        <v>1</v>
      </c>
    </row>
    <row r="11" spans="1:17" ht="15.75" x14ac:dyDescent="0.25">
      <c r="A11" s="3" t="s">
        <v>2</v>
      </c>
    </row>
    <row r="13" spans="1:17" ht="60" x14ac:dyDescent="0.25">
      <c r="A13" s="17" t="s">
        <v>3</v>
      </c>
      <c r="B13" s="17" t="s">
        <v>4</v>
      </c>
      <c r="C13" s="17" t="s">
        <v>5</v>
      </c>
      <c r="D13" s="42" t="s">
        <v>6</v>
      </c>
      <c r="E13" s="17" t="s">
        <v>7</v>
      </c>
      <c r="F13" s="17" t="s">
        <v>8</v>
      </c>
      <c r="G13" s="17" t="s">
        <v>9</v>
      </c>
      <c r="H13" s="15" t="s">
        <v>10</v>
      </c>
      <c r="I13" s="18" t="s">
        <v>11</v>
      </c>
      <c r="J13" s="17" t="s">
        <v>12</v>
      </c>
      <c r="K13" s="17" t="s">
        <v>13</v>
      </c>
      <c r="L13" s="17" t="s">
        <v>14</v>
      </c>
      <c r="M13" s="17" t="s">
        <v>15</v>
      </c>
      <c r="N13" s="17" t="s">
        <v>16</v>
      </c>
      <c r="O13" s="17" t="s">
        <v>17</v>
      </c>
      <c r="P13" s="17" t="s">
        <v>18</v>
      </c>
      <c r="Q13" s="17" t="s">
        <v>19</v>
      </c>
    </row>
    <row r="14" spans="1:17" ht="16.5" customHeight="1" x14ac:dyDescent="0.25">
      <c r="A14" s="1" t="s">
        <v>20</v>
      </c>
      <c r="B14" s="1" t="s">
        <v>21</v>
      </c>
      <c r="C14" s="1" t="s">
        <v>22</v>
      </c>
      <c r="D14" s="44"/>
      <c r="E14" s="1" t="s">
        <v>23</v>
      </c>
      <c r="F14" s="1" t="s">
        <v>24</v>
      </c>
      <c r="G14" s="1" t="s">
        <v>24</v>
      </c>
      <c r="H14" s="26">
        <v>30</v>
      </c>
      <c r="I14" s="27" t="str">
        <f>HYPERLINK("https://doc.morningstar.com/Document/047e5125abadbc437a7bf774c13e1fab.msdoc?clientid=fnz&amp;key=9c0e4d166b60ffd3","TMD")</f>
        <v>TMD</v>
      </c>
      <c r="J14" t="s">
        <v>25</v>
      </c>
      <c r="K14" s="1" t="s">
        <v>25</v>
      </c>
      <c r="L14" s="1" t="s">
        <v>25</v>
      </c>
      <c r="M14" s="1" t="s">
        <v>25</v>
      </c>
      <c r="N14" s="1" t="s">
        <v>26</v>
      </c>
      <c r="O14" s="1" t="s">
        <v>26</v>
      </c>
      <c r="P14" s="1" t="s">
        <v>26</v>
      </c>
      <c r="Q14" s="1" t="s">
        <v>27</v>
      </c>
    </row>
    <row r="15" spans="1:17" ht="16.5" customHeight="1" x14ac:dyDescent="0.25">
      <c r="A15" s="1" t="s">
        <v>28</v>
      </c>
      <c r="B15" s="1" t="s">
        <v>29</v>
      </c>
      <c r="C15" s="1" t="s">
        <v>30</v>
      </c>
      <c r="D15" s="44"/>
      <c r="E15" s="1" t="s">
        <v>23</v>
      </c>
      <c r="F15" s="1" t="s">
        <v>24</v>
      </c>
      <c r="G15" s="1" t="s">
        <v>24</v>
      </c>
      <c r="H15" s="26">
        <v>30</v>
      </c>
      <c r="I15" s="27" t="str">
        <f>HYPERLINK("https://doc.morningstar.com/Document/910b5b6db43eee3be387adbb3909d27c.msdoc?clientid=fnz&amp;key=9c0e4d166b60ffd3","TMD")</f>
        <v>TMD</v>
      </c>
      <c r="J15" t="s">
        <v>25</v>
      </c>
      <c r="K15" s="1" t="s">
        <v>25</v>
      </c>
      <c r="L15" s="1" t="s">
        <v>25</v>
      </c>
      <c r="M15" s="1" t="s">
        <v>25</v>
      </c>
      <c r="N15" s="1" t="s">
        <v>26</v>
      </c>
      <c r="O15" s="1" t="s">
        <v>26</v>
      </c>
      <c r="P15" s="1" t="s">
        <v>27</v>
      </c>
      <c r="Q15" s="1" t="s">
        <v>27</v>
      </c>
    </row>
    <row r="16" spans="1:17" ht="16.5" customHeight="1" x14ac:dyDescent="0.25">
      <c r="A16" s="1" t="s">
        <v>31</v>
      </c>
      <c r="B16" s="1" t="s">
        <v>32</v>
      </c>
      <c r="C16" s="1" t="s">
        <v>33</v>
      </c>
      <c r="D16" s="44"/>
      <c r="E16" s="1" t="s">
        <v>23</v>
      </c>
      <c r="F16" s="1" t="s">
        <v>24</v>
      </c>
      <c r="G16" s="1" t="s">
        <v>24</v>
      </c>
      <c r="H16" s="26">
        <v>100</v>
      </c>
      <c r="I16" s="27" t="str">
        <f>HYPERLINK("https://doc.morningstar.com/Document/ed34b918f479bf7ad8c321d46fef2fbc.msdoc?clientid=fnz&amp;key=9c0e4d166b60ffd3","TMD")</f>
        <v>TMD</v>
      </c>
      <c r="J16" t="s">
        <v>25</v>
      </c>
      <c r="K16" s="1" t="s">
        <v>25</v>
      </c>
      <c r="L16" s="1" t="s">
        <v>25</v>
      </c>
      <c r="M16" s="1" t="s">
        <v>25</v>
      </c>
      <c r="N16" s="1" t="s">
        <v>26</v>
      </c>
      <c r="O16" s="1" t="s">
        <v>26</v>
      </c>
      <c r="P16" s="1" t="s">
        <v>27</v>
      </c>
      <c r="Q16" s="1" t="s">
        <v>27</v>
      </c>
    </row>
    <row r="17" spans="1:17" ht="16.5" customHeight="1" x14ac:dyDescent="0.25">
      <c r="A17" s="1" t="s">
        <v>34</v>
      </c>
      <c r="B17" s="1" t="s">
        <v>35</v>
      </c>
      <c r="C17" s="1" t="s">
        <v>36</v>
      </c>
      <c r="D17" s="44"/>
      <c r="E17" s="1" t="s">
        <v>23</v>
      </c>
      <c r="F17" s="1" t="s">
        <v>24</v>
      </c>
      <c r="G17" s="1" t="s">
        <v>24</v>
      </c>
      <c r="H17" s="26">
        <v>30</v>
      </c>
      <c r="I17" s="27" t="str">
        <f>HYPERLINK("https://doc.morningstar.com/Document/1a914b76708bd415c396c6121b55a292.msdoc?clientid=fnz&amp;key=9c0e4d166b60ffd3","TMD")</f>
        <v>TMD</v>
      </c>
      <c r="J17" t="s">
        <v>25</v>
      </c>
      <c r="K17" s="1" t="s">
        <v>25</v>
      </c>
      <c r="L17" s="1" t="s">
        <v>25</v>
      </c>
      <c r="M17" s="1" t="s">
        <v>25</v>
      </c>
      <c r="N17" s="1" t="s">
        <v>26</v>
      </c>
      <c r="O17" s="1" t="s">
        <v>26</v>
      </c>
      <c r="P17" s="1" t="s">
        <v>27</v>
      </c>
      <c r="Q17" s="1" t="s">
        <v>27</v>
      </c>
    </row>
    <row r="18" spans="1:17" ht="16.5" customHeight="1" x14ac:dyDescent="0.25">
      <c r="A18" s="1" t="s">
        <v>37</v>
      </c>
      <c r="B18" s="1" t="s">
        <v>38</v>
      </c>
      <c r="C18" s="1" t="s">
        <v>39</v>
      </c>
      <c r="D18" s="44"/>
      <c r="E18" s="1" t="s">
        <v>40</v>
      </c>
      <c r="F18" s="1" t="s">
        <v>24</v>
      </c>
      <c r="G18" s="1" t="s">
        <v>24</v>
      </c>
      <c r="H18" s="26">
        <v>50</v>
      </c>
      <c r="I18" s="27" t="str">
        <f>HYPERLINK("https://doc.morningstar.com/Document/9b62665be544c26448025708f9431498.msdoc?clientid=fnz&amp;key=9c0e4d166b60ffd3","TMD")</f>
        <v>TMD</v>
      </c>
      <c r="J18" t="s">
        <v>25</v>
      </c>
      <c r="K18" s="1" t="s">
        <v>25</v>
      </c>
      <c r="L18" s="1" t="s">
        <v>25</v>
      </c>
      <c r="M18" s="1" t="s">
        <v>25</v>
      </c>
      <c r="N18" s="1" t="s">
        <v>26</v>
      </c>
      <c r="O18" s="1" t="s">
        <v>26</v>
      </c>
      <c r="P18" s="1" t="s">
        <v>27</v>
      </c>
      <c r="Q18" s="1" t="s">
        <v>27</v>
      </c>
    </row>
    <row r="19" spans="1:17" ht="16.5" customHeight="1" x14ac:dyDescent="0.25">
      <c r="A19" s="1" t="s">
        <v>37</v>
      </c>
      <c r="B19" s="1" t="s">
        <v>41</v>
      </c>
      <c r="C19" s="1" t="s">
        <v>42</v>
      </c>
      <c r="D19" s="44"/>
      <c r="E19" s="1" t="s">
        <v>40</v>
      </c>
      <c r="F19" s="1" t="s">
        <v>24</v>
      </c>
      <c r="G19" s="1" t="s">
        <v>24</v>
      </c>
      <c r="H19" s="26">
        <v>50</v>
      </c>
      <c r="I19" s="27" t="str">
        <f>HYPERLINK("https://doc.morningstar.com/Document/ed34b918f479bf7ac075e9ca918bf420.msdoc?clientid=fnz&amp;key=9c0e4d166b60ffd3","TMD")</f>
        <v>TMD</v>
      </c>
      <c r="J19" t="s">
        <v>25</v>
      </c>
      <c r="K19" s="1" t="s">
        <v>25</v>
      </c>
      <c r="L19" s="1" t="s">
        <v>25</v>
      </c>
      <c r="M19" s="1" t="s">
        <v>25</v>
      </c>
      <c r="N19" s="1" t="s">
        <v>26</v>
      </c>
      <c r="O19" s="1" t="s">
        <v>26</v>
      </c>
      <c r="P19" s="1" t="s">
        <v>27</v>
      </c>
      <c r="Q19" s="1" t="s">
        <v>27</v>
      </c>
    </row>
    <row r="20" spans="1:17" ht="16.5" customHeight="1" x14ac:dyDescent="0.25">
      <c r="A20" s="1" t="s">
        <v>31</v>
      </c>
      <c r="B20" s="1" t="s">
        <v>43</v>
      </c>
      <c r="C20" s="1" t="s">
        <v>44</v>
      </c>
      <c r="D20" s="44"/>
      <c r="E20" s="1" t="s">
        <v>45</v>
      </c>
      <c r="F20" s="1" t="s">
        <v>24</v>
      </c>
      <c r="G20" s="1" t="s">
        <v>24</v>
      </c>
      <c r="H20" s="26">
        <v>100</v>
      </c>
      <c r="I20" s="27" t="str">
        <f>HYPERLINK("https://doc.morningstar.com/Document/1a914b76708bd4157bc3566baf4833b7.msdoc?clientid=fnz&amp;key=9c0e4d166b60ffd3","TMD")</f>
        <v>TMD</v>
      </c>
      <c r="J20" t="s">
        <v>25</v>
      </c>
      <c r="K20" s="1" t="s">
        <v>25</v>
      </c>
      <c r="L20" s="1" t="s">
        <v>25</v>
      </c>
      <c r="M20" s="1" t="s">
        <v>25</v>
      </c>
      <c r="N20" s="1" t="s">
        <v>26</v>
      </c>
      <c r="O20" s="1" t="s">
        <v>26</v>
      </c>
      <c r="P20" s="1" t="s">
        <v>27</v>
      </c>
      <c r="Q20" s="1" t="s">
        <v>27</v>
      </c>
    </row>
    <row r="21" spans="1:17" ht="16.5" customHeight="1" x14ac:dyDescent="0.25">
      <c r="A21" s="1" t="s">
        <v>31</v>
      </c>
      <c r="B21" s="1" t="s">
        <v>46</v>
      </c>
      <c r="C21" s="1" t="s">
        <v>47</v>
      </c>
      <c r="D21" s="44"/>
      <c r="E21" s="1" t="s">
        <v>23</v>
      </c>
      <c r="F21" s="1" t="s">
        <v>24</v>
      </c>
      <c r="G21" s="1" t="s">
        <v>24</v>
      </c>
      <c r="H21" s="26">
        <v>100</v>
      </c>
      <c r="I21" s="27" t="str">
        <f>HYPERLINK("https://doc.morningstar.com/Document/f1d3a3bf5f7e7b68ae245fc572eed03e.msdoc?clientid=fnz&amp;key=9c0e4d166b60ffd3","TMD")</f>
        <v>TMD</v>
      </c>
      <c r="J21" t="s">
        <v>25</v>
      </c>
      <c r="K21" s="1" t="s">
        <v>25</v>
      </c>
      <c r="L21" s="1" t="s">
        <v>25</v>
      </c>
      <c r="M21" s="1" t="s">
        <v>25</v>
      </c>
      <c r="N21" s="1" t="s">
        <v>26</v>
      </c>
      <c r="O21" s="1" t="s">
        <v>26</v>
      </c>
      <c r="P21" s="1" t="s">
        <v>27</v>
      </c>
      <c r="Q21" s="1" t="s">
        <v>27</v>
      </c>
    </row>
    <row r="22" spans="1:17" ht="16.5" customHeight="1" x14ac:dyDescent="0.25">
      <c r="A22" s="1" t="s">
        <v>34</v>
      </c>
      <c r="B22" s="1" t="s">
        <v>48</v>
      </c>
      <c r="C22" s="1" t="s">
        <v>49</v>
      </c>
      <c r="D22" s="44"/>
      <c r="E22" s="1" t="s">
        <v>23</v>
      </c>
      <c r="F22" s="1" t="s">
        <v>24</v>
      </c>
      <c r="G22" s="1" t="s">
        <v>24</v>
      </c>
      <c r="H22" s="26">
        <v>30</v>
      </c>
      <c r="I22" s="27" t="str">
        <f>HYPERLINK("https://doc.morningstar.com/Document/21cc8aa3ee4e9e08a85d0976f8299cf8.msdoc?clientid=fnz&amp;key=9c0e4d166b60ffd3","TMD")</f>
        <v>TMD</v>
      </c>
      <c r="J22" t="s">
        <v>25</v>
      </c>
      <c r="K22" s="1" t="s">
        <v>25</v>
      </c>
      <c r="L22" s="1" t="s">
        <v>25</v>
      </c>
      <c r="M22" s="1" t="s">
        <v>25</v>
      </c>
      <c r="N22" s="1" t="s">
        <v>26</v>
      </c>
      <c r="O22" s="1" t="s">
        <v>26</v>
      </c>
      <c r="P22" s="1" t="s">
        <v>27</v>
      </c>
      <c r="Q22" s="1" t="s">
        <v>27</v>
      </c>
    </row>
    <row r="23" spans="1:17" ht="16.5" customHeight="1" x14ac:dyDescent="0.25">
      <c r="A23" s="1" t="s">
        <v>28</v>
      </c>
      <c r="B23" s="1" t="s">
        <v>50</v>
      </c>
      <c r="C23" s="1" t="s">
        <v>51</v>
      </c>
      <c r="D23" s="44"/>
      <c r="E23" s="1" t="s">
        <v>23</v>
      </c>
      <c r="F23" s="1" t="s">
        <v>24</v>
      </c>
      <c r="G23" s="1" t="s">
        <v>24</v>
      </c>
      <c r="H23" s="26">
        <v>30</v>
      </c>
      <c r="I23" s="27" t="str">
        <f>HYPERLINK("https://doc.morningstar.com/Document/92d9d7fd6fa6c94463835fb7200b5696.msdoc?clientid=fnz&amp;key=9c0e4d166b60ffd3","TMD")</f>
        <v>TMD</v>
      </c>
      <c r="J23" t="s">
        <v>25</v>
      </c>
      <c r="K23" s="1" t="s">
        <v>25</v>
      </c>
      <c r="L23" s="1" t="s">
        <v>25</v>
      </c>
      <c r="M23" s="1" t="s">
        <v>25</v>
      </c>
      <c r="N23" s="1" t="s">
        <v>26</v>
      </c>
      <c r="O23" s="1" t="s">
        <v>26</v>
      </c>
      <c r="P23" s="1" t="s">
        <v>27</v>
      </c>
      <c r="Q23" s="1" t="s">
        <v>27</v>
      </c>
    </row>
    <row r="24" spans="1:17" ht="16.5" customHeight="1" x14ac:dyDescent="0.25">
      <c r="A24" s="1" t="s">
        <v>52</v>
      </c>
      <c r="B24" s="1" t="s">
        <v>53</v>
      </c>
      <c r="C24" s="1" t="s">
        <v>54</v>
      </c>
      <c r="D24" s="44"/>
      <c r="E24" s="1" t="s">
        <v>40</v>
      </c>
      <c r="F24" s="1" t="s">
        <v>24</v>
      </c>
      <c r="G24" s="1" t="s">
        <v>24</v>
      </c>
      <c r="H24" s="26">
        <v>100</v>
      </c>
      <c r="I24" s="27" t="str">
        <f>HYPERLINK("https://doc.morningstar.com/Document/0ffc54e1aea7027385c5ade38e632e08.msdoc?clientid=fnz&amp;key=9c0e4d166b60ffd3","TMD")</f>
        <v>TMD</v>
      </c>
      <c r="J24" t="s">
        <v>25</v>
      </c>
      <c r="K24" s="1" t="s">
        <v>25</v>
      </c>
      <c r="L24" s="1" t="s">
        <v>25</v>
      </c>
      <c r="M24" s="1" t="s">
        <v>25</v>
      </c>
      <c r="N24" s="1" t="s">
        <v>26</v>
      </c>
      <c r="O24" s="1" t="s">
        <v>27</v>
      </c>
      <c r="P24" s="1" t="s">
        <v>27</v>
      </c>
      <c r="Q24" s="1" t="s">
        <v>27</v>
      </c>
    </row>
    <row r="25" spans="1:17" ht="16.5" customHeight="1" x14ac:dyDescent="0.25">
      <c r="A25" s="1" t="s">
        <v>55</v>
      </c>
      <c r="B25" s="1" t="s">
        <v>56</v>
      </c>
      <c r="C25" s="1" t="s">
        <v>57</v>
      </c>
      <c r="D25" s="44"/>
      <c r="E25" s="1" t="s">
        <v>40</v>
      </c>
      <c r="F25" s="1" t="s">
        <v>24</v>
      </c>
      <c r="G25" s="1" t="s">
        <v>24</v>
      </c>
      <c r="H25" s="26">
        <v>100</v>
      </c>
      <c r="I25" s="27" t="str">
        <f>HYPERLINK("https://doc.morningstar.com/Document/2bb1a02ec2cfb1f1b97c022fbf7d1a1e.msdoc?clientid=fnz&amp;key=9c0e4d166b60ffd3","TMD")</f>
        <v>TMD</v>
      </c>
      <c r="J25" t="s">
        <v>25</v>
      </c>
      <c r="K25" s="1" t="s">
        <v>25</v>
      </c>
      <c r="L25" s="1" t="s">
        <v>25</v>
      </c>
      <c r="M25" s="1" t="s">
        <v>25</v>
      </c>
      <c r="N25" s="1" t="s">
        <v>26</v>
      </c>
      <c r="O25" s="1" t="s">
        <v>26</v>
      </c>
      <c r="P25" s="1" t="s">
        <v>27</v>
      </c>
      <c r="Q25" s="1" t="s">
        <v>27</v>
      </c>
    </row>
    <row r="26" spans="1:17" ht="16.5" customHeight="1" x14ac:dyDescent="0.25">
      <c r="A26" s="1" t="s">
        <v>58</v>
      </c>
      <c r="B26" s="1" t="s">
        <v>59</v>
      </c>
      <c r="C26" s="1" t="s">
        <v>60</v>
      </c>
      <c r="D26" s="44"/>
      <c r="E26" s="1" t="s">
        <v>61</v>
      </c>
      <c r="F26" s="1" t="s">
        <v>24</v>
      </c>
      <c r="G26" s="1" t="s">
        <v>24</v>
      </c>
      <c r="H26" s="26">
        <v>100</v>
      </c>
      <c r="I26" s="27" t="str">
        <f>HYPERLINK("https://doc.morningstar.com/Document/7c106730fd0cdf848e095b62ef12fe95.msdoc?clientid=fnz&amp;key=9c0e4d166b60ffd3","TMD")</f>
        <v>TMD</v>
      </c>
      <c r="J26" t="s">
        <v>62</v>
      </c>
      <c r="K26" s="1" t="s">
        <v>25</v>
      </c>
      <c r="L26" s="1" t="s">
        <v>25</v>
      </c>
      <c r="M26" s="1" t="s">
        <v>25</v>
      </c>
      <c r="N26" s="1" t="s">
        <v>26</v>
      </c>
      <c r="O26" s="1" t="s">
        <v>26</v>
      </c>
      <c r="P26" s="1" t="s">
        <v>27</v>
      </c>
      <c r="Q26" s="1" t="s">
        <v>27</v>
      </c>
    </row>
    <row r="27" spans="1:17" ht="16.5" customHeight="1" x14ac:dyDescent="0.25">
      <c r="A27" s="1" t="s">
        <v>31</v>
      </c>
      <c r="B27" s="1" t="s">
        <v>63</v>
      </c>
      <c r="C27" s="1" t="s">
        <v>64</v>
      </c>
      <c r="D27" s="44"/>
      <c r="E27" s="1" t="s">
        <v>40</v>
      </c>
      <c r="F27" s="1" t="s">
        <v>24</v>
      </c>
      <c r="G27" s="1" t="s">
        <v>24</v>
      </c>
      <c r="H27" s="26">
        <v>100</v>
      </c>
      <c r="I27" s="27" t="str">
        <f>HYPERLINK("https://doc.morningstar.com/Document/13a6a23ba8949cc95f6b89cb5a6296a6.msdoc?clientid=fnz&amp;key=9c0e4d166b60ffd3","TMD")</f>
        <v>TMD</v>
      </c>
      <c r="J27" t="s">
        <v>25</v>
      </c>
      <c r="K27" s="1" t="s">
        <v>25</v>
      </c>
      <c r="L27" s="1" t="s">
        <v>25</v>
      </c>
      <c r="M27" s="1" t="s">
        <v>25</v>
      </c>
      <c r="N27" s="1" t="s">
        <v>26</v>
      </c>
      <c r="O27" s="1" t="s">
        <v>26</v>
      </c>
      <c r="P27" s="1" t="s">
        <v>27</v>
      </c>
      <c r="Q27" s="1" t="s">
        <v>27</v>
      </c>
    </row>
    <row r="28" spans="1:17" ht="16.5" customHeight="1" x14ac:dyDescent="0.25">
      <c r="A28" s="1" t="s">
        <v>65</v>
      </c>
      <c r="B28" s="1" t="s">
        <v>66</v>
      </c>
      <c r="C28" s="1" t="s">
        <v>67</v>
      </c>
      <c r="D28" s="44"/>
      <c r="E28" s="1" t="s">
        <v>45</v>
      </c>
      <c r="F28" s="1" t="s">
        <v>24</v>
      </c>
      <c r="G28" s="1" t="s">
        <v>24</v>
      </c>
      <c r="H28" s="26">
        <v>100</v>
      </c>
      <c r="I28" s="27" t="str">
        <f>HYPERLINK("https://doc.morningstar.com/Document/dbbb23a50b43b2a56762134d0516fead.msdoc?clientid=fnz&amp;key=9c0e4d166b60ffd3","TMD")</f>
        <v>TMD</v>
      </c>
      <c r="J28" t="s">
        <v>25</v>
      </c>
      <c r="K28" s="1" t="s">
        <v>25</v>
      </c>
      <c r="L28" s="1" t="s">
        <v>25</v>
      </c>
      <c r="M28" s="1" t="s">
        <v>25</v>
      </c>
      <c r="N28" s="1" t="s">
        <v>26</v>
      </c>
      <c r="O28" s="1" t="s">
        <v>27</v>
      </c>
      <c r="P28" s="1" t="s">
        <v>26</v>
      </c>
      <c r="Q28" s="1" t="s">
        <v>26</v>
      </c>
    </row>
    <row r="29" spans="1:17" ht="16.5" customHeight="1" x14ac:dyDescent="0.25">
      <c r="A29" s="1" t="s">
        <v>68</v>
      </c>
      <c r="B29" s="1" t="s">
        <v>69</v>
      </c>
      <c r="C29" s="1" t="s">
        <v>70</v>
      </c>
      <c r="D29" s="44"/>
      <c r="E29" s="1" t="s">
        <v>40</v>
      </c>
      <c r="F29" s="1" t="s">
        <v>24</v>
      </c>
      <c r="G29" s="1" t="s">
        <v>24</v>
      </c>
      <c r="H29" s="26">
        <v>100</v>
      </c>
      <c r="I29" s="27" t="str">
        <f>HYPERLINK("https://doc.morningstar.com/Document/78c41660ff1dec8a0cb052ba5ebd6c91.msdoc?clientid=fnz&amp;key=9c0e4d166b60ffd3","TMD")</f>
        <v>TMD</v>
      </c>
      <c r="J29" t="s">
        <v>25</v>
      </c>
      <c r="K29" s="1" t="s">
        <v>25</v>
      </c>
      <c r="L29" s="1" t="s">
        <v>25</v>
      </c>
      <c r="M29" s="1" t="s">
        <v>25</v>
      </c>
      <c r="N29" s="1" t="s">
        <v>26</v>
      </c>
      <c r="O29" s="1" t="s">
        <v>27</v>
      </c>
      <c r="P29" s="1" t="s">
        <v>27</v>
      </c>
      <c r="Q29" s="1" t="s">
        <v>27</v>
      </c>
    </row>
    <row r="30" spans="1:17" ht="16.5" customHeight="1" x14ac:dyDescent="0.25">
      <c r="A30" s="1" t="s">
        <v>71</v>
      </c>
      <c r="B30" s="1" t="s">
        <v>72</v>
      </c>
      <c r="C30" s="1" t="s">
        <v>73</v>
      </c>
      <c r="D30" s="44"/>
      <c r="E30" s="1" t="s">
        <v>40</v>
      </c>
      <c r="F30" s="1" t="s">
        <v>24</v>
      </c>
      <c r="G30" s="1" t="s">
        <v>24</v>
      </c>
      <c r="H30" s="26">
        <v>100</v>
      </c>
      <c r="I30" s="27" t="str">
        <f>HYPERLINK("https://doc.morningstar.com/Document/af3adb065160cef7c44d66b5633f1352.msdoc?clientid=fnz&amp;key=9c0e4d166b60ffd3","TMD")</f>
        <v>TMD</v>
      </c>
      <c r="J30" t="s">
        <v>25</v>
      </c>
      <c r="K30" s="1" t="s">
        <v>25</v>
      </c>
      <c r="L30" s="1" t="s">
        <v>25</v>
      </c>
      <c r="M30" s="1" t="s">
        <v>25</v>
      </c>
      <c r="N30" s="1" t="s">
        <v>26</v>
      </c>
      <c r="O30" s="1" t="s">
        <v>26</v>
      </c>
      <c r="P30" s="1" t="s">
        <v>27</v>
      </c>
      <c r="Q30" s="1" t="s">
        <v>27</v>
      </c>
    </row>
    <row r="31" spans="1:17" ht="16.5" customHeight="1" x14ac:dyDescent="0.25">
      <c r="A31" s="1" t="s">
        <v>71</v>
      </c>
      <c r="B31" s="1" t="s">
        <v>74</v>
      </c>
      <c r="C31" s="1" t="s">
        <v>75</v>
      </c>
      <c r="D31" s="44"/>
      <c r="E31" s="1" t="s">
        <v>40</v>
      </c>
      <c r="F31" s="1" t="s">
        <v>24</v>
      </c>
      <c r="G31" s="1" t="s">
        <v>24</v>
      </c>
      <c r="H31" s="26">
        <v>100</v>
      </c>
      <c r="I31" s="27" t="str">
        <f>HYPERLINK("https://doc.morningstar.com/Document/f31f3540502e99b756288692e965591d.msdoc?clientid=fnz&amp;key=9c0e4d166b60ffd3","TMD")</f>
        <v>TMD</v>
      </c>
      <c r="J31" t="s">
        <v>25</v>
      </c>
      <c r="K31" s="1" t="s">
        <v>25</v>
      </c>
      <c r="L31" s="1" t="s">
        <v>25</v>
      </c>
      <c r="M31" s="1" t="s">
        <v>25</v>
      </c>
      <c r="N31" s="1" t="s">
        <v>26</v>
      </c>
      <c r="O31" s="1" t="s">
        <v>26</v>
      </c>
      <c r="P31" s="1" t="s">
        <v>27</v>
      </c>
      <c r="Q31" s="1" t="s">
        <v>27</v>
      </c>
    </row>
    <row r="32" spans="1:17" ht="16.5" customHeight="1" x14ac:dyDescent="0.25">
      <c r="A32" s="1" t="s">
        <v>76</v>
      </c>
      <c r="B32" s="1" t="s">
        <v>77</v>
      </c>
      <c r="C32" s="1" t="s">
        <v>78</v>
      </c>
      <c r="D32" s="44"/>
      <c r="E32" s="1" t="s">
        <v>40</v>
      </c>
      <c r="F32" s="1" t="s">
        <v>24</v>
      </c>
      <c r="G32" s="1" t="s">
        <v>24</v>
      </c>
      <c r="H32" s="26">
        <v>100</v>
      </c>
      <c r="I32" s="27" t="str">
        <f>HYPERLINK("https://doc.morningstar.com/Document/2c3b8a0a9ec874a8500a286f30e818f0.msdoc?clientid=fnz&amp;key=9c0e4d166b60ffd3","TMD")</f>
        <v>TMD</v>
      </c>
      <c r="J32" t="s">
        <v>25</v>
      </c>
      <c r="K32" s="1" t="s">
        <v>25</v>
      </c>
      <c r="L32" s="1" t="s">
        <v>25</v>
      </c>
      <c r="M32" s="1" t="s">
        <v>25</v>
      </c>
      <c r="N32" s="1" t="s">
        <v>26</v>
      </c>
      <c r="O32" s="1" t="s">
        <v>27</v>
      </c>
      <c r="P32" s="1" t="s">
        <v>27</v>
      </c>
      <c r="Q32" s="1" t="s">
        <v>26</v>
      </c>
    </row>
    <row r="33" spans="1:17" ht="16.5" customHeight="1" x14ac:dyDescent="0.25">
      <c r="A33" s="1" t="s">
        <v>28</v>
      </c>
      <c r="B33" s="1" t="s">
        <v>79</v>
      </c>
      <c r="C33" s="1" t="s">
        <v>80</v>
      </c>
      <c r="D33" s="44"/>
      <c r="E33" s="1" t="s">
        <v>61</v>
      </c>
      <c r="F33" s="1" t="s">
        <v>24</v>
      </c>
      <c r="G33" s="1" t="s">
        <v>24</v>
      </c>
      <c r="H33" s="26">
        <v>30</v>
      </c>
      <c r="I33" s="27" t="str">
        <f>HYPERLINK("https://doc.morningstar.com/Document/993485e50e1aef461a37e0d3adb80c47.msdoc?clientid=fnz&amp;key=9c0e4d166b60ffd3","TMD")</f>
        <v>TMD</v>
      </c>
      <c r="J33" t="s">
        <v>25</v>
      </c>
      <c r="K33" s="1" t="s">
        <v>25</v>
      </c>
      <c r="L33" s="1" t="s">
        <v>25</v>
      </c>
      <c r="M33" s="1" t="s">
        <v>25</v>
      </c>
      <c r="N33" s="1" t="s">
        <v>26</v>
      </c>
      <c r="O33" s="1" t="s">
        <v>26</v>
      </c>
      <c r="P33" s="1" t="s">
        <v>26</v>
      </c>
      <c r="Q33" s="1" t="s">
        <v>27</v>
      </c>
    </row>
    <row r="34" spans="1:17" ht="16.5" customHeight="1" x14ac:dyDescent="0.25">
      <c r="A34" s="1" t="s">
        <v>81</v>
      </c>
      <c r="B34" s="1" t="s">
        <v>82</v>
      </c>
      <c r="C34" s="1" t="s">
        <v>83</v>
      </c>
      <c r="D34" s="44"/>
      <c r="E34" s="1" t="s">
        <v>40</v>
      </c>
      <c r="F34" s="1" t="s">
        <v>24</v>
      </c>
      <c r="G34" s="1" t="s">
        <v>24</v>
      </c>
      <c r="H34" s="26">
        <v>50</v>
      </c>
      <c r="I34" s="27" t="str">
        <f>HYPERLINK("https://doc.morningstar.com/Document/3fc81d296c55f6a79e6277cab89233f4.msdoc?clientid=fnz&amp;key=9c0e4d166b60ffd3","TMD")</f>
        <v>TMD</v>
      </c>
      <c r="J34" t="s">
        <v>25</v>
      </c>
      <c r="K34" s="1" t="s">
        <v>25</v>
      </c>
      <c r="L34" s="1" t="s">
        <v>25</v>
      </c>
      <c r="M34" s="1" t="s">
        <v>25</v>
      </c>
      <c r="N34" s="1" t="s">
        <v>26</v>
      </c>
      <c r="O34" s="1" t="s">
        <v>26</v>
      </c>
      <c r="P34" s="1" t="s">
        <v>26</v>
      </c>
      <c r="Q34" s="1" t="s">
        <v>27</v>
      </c>
    </row>
    <row r="35" spans="1:17" ht="16.5" customHeight="1" x14ac:dyDescent="0.25">
      <c r="A35" s="1" t="s">
        <v>84</v>
      </c>
      <c r="B35" s="1" t="s">
        <v>85</v>
      </c>
      <c r="C35" s="1" t="s">
        <v>86</v>
      </c>
      <c r="D35" s="44"/>
      <c r="E35" s="1" t="s">
        <v>45</v>
      </c>
      <c r="F35" s="1" t="s">
        <v>24</v>
      </c>
      <c r="G35" s="1" t="s">
        <v>24</v>
      </c>
      <c r="H35" s="26">
        <v>100</v>
      </c>
      <c r="I35" s="27" t="str">
        <f>HYPERLINK("https://doc.morningstar.com/Document/5c96fda3c9a9c1856d2da5c69d5b01c3.msdoc?clientid=fnz&amp;key=9c0e4d166b60ffd3","TMD")</f>
        <v>TMD</v>
      </c>
      <c r="J35" t="s">
        <v>25</v>
      </c>
      <c r="K35" s="1" t="s">
        <v>25</v>
      </c>
      <c r="L35" s="1" t="s">
        <v>25</v>
      </c>
      <c r="M35" s="1" t="s">
        <v>25</v>
      </c>
      <c r="N35" s="1" t="s">
        <v>27</v>
      </c>
      <c r="O35" s="1" t="s">
        <v>27</v>
      </c>
      <c r="P35" s="1" t="s">
        <v>26</v>
      </c>
      <c r="Q35" s="1" t="s">
        <v>26</v>
      </c>
    </row>
    <row r="36" spans="1:17" ht="16.5" customHeight="1" x14ac:dyDescent="0.25">
      <c r="A36" s="1" t="s">
        <v>37</v>
      </c>
      <c r="B36" s="1" t="s">
        <v>87</v>
      </c>
      <c r="C36" s="1" t="s">
        <v>88</v>
      </c>
      <c r="D36" s="44"/>
      <c r="E36" s="1" t="s">
        <v>40</v>
      </c>
      <c r="F36" s="1" t="s">
        <v>24</v>
      </c>
      <c r="G36" s="1" t="s">
        <v>24</v>
      </c>
      <c r="H36" s="26">
        <v>50</v>
      </c>
      <c r="I36" s="27" t="str">
        <f>HYPERLINK("https://doc.morningstar.com/Document/7bfe33d397ba3c08e3bcfb6783cadb63.msdoc?clientid=fnz&amp;key=9c0e4d166b60ffd3","TMD")</f>
        <v>TMD</v>
      </c>
      <c r="J36" t="s">
        <v>25</v>
      </c>
      <c r="K36" s="1" t="s">
        <v>25</v>
      </c>
      <c r="L36" s="1" t="s">
        <v>25</v>
      </c>
      <c r="M36" s="1" t="s">
        <v>25</v>
      </c>
      <c r="N36" s="1" t="s">
        <v>26</v>
      </c>
      <c r="O36" s="1" t="s">
        <v>26</v>
      </c>
      <c r="P36" s="1" t="s">
        <v>27</v>
      </c>
      <c r="Q36" s="1" t="s">
        <v>27</v>
      </c>
    </row>
    <row r="37" spans="1:17" ht="16.5" customHeight="1" x14ac:dyDescent="0.25">
      <c r="A37" s="1" t="s">
        <v>37</v>
      </c>
      <c r="B37" s="1" t="s">
        <v>89</v>
      </c>
      <c r="C37" s="1" t="s">
        <v>90</v>
      </c>
      <c r="D37" s="44"/>
      <c r="E37" s="1" t="s">
        <v>40</v>
      </c>
      <c r="F37" s="1" t="s">
        <v>24</v>
      </c>
      <c r="G37" s="1" t="s">
        <v>24</v>
      </c>
      <c r="H37" s="26">
        <v>50</v>
      </c>
      <c r="I37" s="27" t="str">
        <f>HYPERLINK("https://doc.morningstar.com/Document/ee2658ddde85910ac90b707164ad32e9.msdoc?clientid=fnz&amp;key=9c0e4d166b60ffd3","TMD")</f>
        <v>TMD</v>
      </c>
      <c r="J37" t="s">
        <v>25</v>
      </c>
      <c r="K37" s="1" t="s">
        <v>25</v>
      </c>
      <c r="L37" s="1" t="s">
        <v>25</v>
      </c>
      <c r="M37" s="1" t="s">
        <v>25</v>
      </c>
      <c r="N37" s="1" t="s">
        <v>26</v>
      </c>
      <c r="O37" s="1" t="s">
        <v>26</v>
      </c>
      <c r="P37" s="1" t="s">
        <v>27</v>
      </c>
      <c r="Q37" s="1" t="s">
        <v>27</v>
      </c>
    </row>
    <row r="38" spans="1:17" ht="16.5" customHeight="1" x14ac:dyDescent="0.25">
      <c r="A38" s="1" t="s">
        <v>34</v>
      </c>
      <c r="B38" s="1" t="s">
        <v>91</v>
      </c>
      <c r="C38" s="1" t="s">
        <v>92</v>
      </c>
      <c r="D38" s="44"/>
      <c r="E38" s="1" t="s">
        <v>61</v>
      </c>
      <c r="F38" s="1" t="s">
        <v>24</v>
      </c>
      <c r="G38" s="1" t="s">
        <v>24</v>
      </c>
      <c r="H38" s="26">
        <v>30</v>
      </c>
      <c r="I38" s="27" t="str">
        <f>HYPERLINK("https://doc.morningstar.com/Document/b3343ccfe5e0e8cbc87732edc0721d59.msdoc?clientid=fnz&amp;key=9c0e4d166b60ffd3","TMD")</f>
        <v>TMD</v>
      </c>
      <c r="J38" t="s">
        <v>25</v>
      </c>
      <c r="K38" s="1" t="s">
        <v>25</v>
      </c>
      <c r="L38" s="1" t="s">
        <v>25</v>
      </c>
      <c r="M38" s="1" t="s">
        <v>25</v>
      </c>
      <c r="N38" s="1" t="s">
        <v>26</v>
      </c>
      <c r="O38" s="1" t="s">
        <v>26</v>
      </c>
      <c r="P38" s="1" t="s">
        <v>26</v>
      </c>
      <c r="Q38" s="1" t="s">
        <v>27</v>
      </c>
    </row>
    <row r="39" spans="1:17" ht="16.5" customHeight="1" x14ac:dyDescent="0.25">
      <c r="A39" s="1" t="s">
        <v>58</v>
      </c>
      <c r="B39" s="1" t="s">
        <v>93</v>
      </c>
      <c r="C39" s="1" t="s">
        <v>94</v>
      </c>
      <c r="D39" s="44"/>
      <c r="E39" s="1" t="s">
        <v>61</v>
      </c>
      <c r="F39" s="1" t="s">
        <v>24</v>
      </c>
      <c r="G39" s="1" t="s">
        <v>24</v>
      </c>
      <c r="H39" s="26">
        <v>100</v>
      </c>
      <c r="I39" s="27" t="str">
        <f>HYPERLINK("https://doc.morningstar.com/Document/a630886583e10819da06cf6219315b90.msdoc?clientid=fnz&amp;key=9c0e4d166b60ffd3","TMD")</f>
        <v>TMD</v>
      </c>
      <c r="J39" t="s">
        <v>25</v>
      </c>
      <c r="K39" s="1" t="s">
        <v>25</v>
      </c>
      <c r="L39" s="1" t="s">
        <v>25</v>
      </c>
      <c r="M39" s="1" t="s">
        <v>25</v>
      </c>
      <c r="N39" s="1" t="s">
        <v>26</v>
      </c>
      <c r="O39" s="1" t="s">
        <v>26</v>
      </c>
      <c r="P39" s="1" t="s">
        <v>26</v>
      </c>
      <c r="Q39" s="1" t="s">
        <v>27</v>
      </c>
    </row>
    <row r="40" spans="1:17" ht="16.5" customHeight="1" x14ac:dyDescent="0.25">
      <c r="A40" s="1" t="s">
        <v>52</v>
      </c>
      <c r="B40" s="1" t="s">
        <v>95</v>
      </c>
      <c r="C40" s="1" t="s">
        <v>96</v>
      </c>
      <c r="D40" s="44"/>
      <c r="E40" s="1" t="s">
        <v>40</v>
      </c>
      <c r="F40" s="1" t="s">
        <v>24</v>
      </c>
      <c r="G40" s="1" t="s">
        <v>24</v>
      </c>
      <c r="H40" s="26">
        <v>100</v>
      </c>
      <c r="I40" s="27" t="str">
        <f>HYPERLINK("https://doc.morningstar.com/Document/cbc101edaaedc6686aaa383a1ff128eb.msdoc?clientid=fnz&amp;key=9c0e4d166b60ffd3","TMD")</f>
        <v>TMD</v>
      </c>
      <c r="J40" t="s">
        <v>62</v>
      </c>
      <c r="K40" s="1" t="s">
        <v>26</v>
      </c>
      <c r="L40" s="1" t="s">
        <v>27</v>
      </c>
      <c r="M40" s="1" t="s">
        <v>27</v>
      </c>
      <c r="N40" s="1" t="s">
        <v>27</v>
      </c>
      <c r="O40" s="1" t="s">
        <v>27</v>
      </c>
      <c r="P40" s="1" t="s">
        <v>26</v>
      </c>
      <c r="Q40" s="1" t="s">
        <v>26</v>
      </c>
    </row>
    <row r="41" spans="1:17" ht="16.5" customHeight="1" x14ac:dyDescent="0.25">
      <c r="A41" s="1" t="s">
        <v>68</v>
      </c>
      <c r="B41" s="1" t="s">
        <v>97</v>
      </c>
      <c r="C41" s="1" t="s">
        <v>98</v>
      </c>
      <c r="D41" s="44"/>
      <c r="E41" s="1" t="s">
        <v>45</v>
      </c>
      <c r="F41" s="1" t="s">
        <v>24</v>
      </c>
      <c r="G41" s="1" t="s">
        <v>24</v>
      </c>
      <c r="H41" s="26">
        <v>100</v>
      </c>
      <c r="I41" s="27" t="str">
        <f>HYPERLINK("https://doc.morningstar.com/Document/1c5697ba53e4bd08e4a818c24e3a7fab.msdoc?clientid=fnz&amp;key=9c0e4d166b60ffd3","TMD")</f>
        <v>TMD</v>
      </c>
      <c r="J41" t="s">
        <v>25</v>
      </c>
      <c r="K41" s="1" t="s">
        <v>27</v>
      </c>
      <c r="L41" s="1" t="s">
        <v>27</v>
      </c>
      <c r="M41" s="1" t="s">
        <v>27</v>
      </c>
      <c r="N41" s="1" t="s">
        <v>27</v>
      </c>
      <c r="O41" s="1" t="s">
        <v>27</v>
      </c>
      <c r="P41" s="1" t="s">
        <v>26</v>
      </c>
      <c r="Q41" s="1" t="s">
        <v>26</v>
      </c>
    </row>
    <row r="42" spans="1:17" ht="16.5" customHeight="1" x14ac:dyDescent="0.25">
      <c r="A42" s="1" t="s">
        <v>81</v>
      </c>
      <c r="B42" s="1" t="s">
        <v>99</v>
      </c>
      <c r="C42" s="1" t="s">
        <v>100</v>
      </c>
      <c r="D42" s="44"/>
      <c r="E42" s="1" t="s">
        <v>45</v>
      </c>
      <c r="F42" s="1" t="s">
        <v>24</v>
      </c>
      <c r="G42" s="1" t="s">
        <v>24</v>
      </c>
      <c r="H42" s="26">
        <v>50</v>
      </c>
      <c r="I42" s="27" t="str">
        <f>HYPERLINK("https://doc.morningstar.com/Document/6fdf99bb3381e4dfdc955f3d073ae636.msdoc?clientid=fnz&amp;key=9c0e4d166b60ffd3","TMD")</f>
        <v>TMD</v>
      </c>
      <c r="J42" t="s">
        <v>25</v>
      </c>
      <c r="K42" s="1" t="s">
        <v>25</v>
      </c>
      <c r="L42" s="1" t="s">
        <v>25</v>
      </c>
      <c r="M42" s="1" t="s">
        <v>25</v>
      </c>
      <c r="N42" s="1" t="s">
        <v>26</v>
      </c>
      <c r="O42" s="1" t="s">
        <v>26</v>
      </c>
      <c r="P42" s="1" t="s">
        <v>27</v>
      </c>
      <c r="Q42" s="1" t="s">
        <v>27</v>
      </c>
    </row>
    <row r="43" spans="1:17" ht="16.5" customHeight="1" x14ac:dyDescent="0.25">
      <c r="A43" s="1" t="s">
        <v>37</v>
      </c>
      <c r="B43" s="1" t="s">
        <v>101</v>
      </c>
      <c r="C43" s="1" t="s">
        <v>102</v>
      </c>
      <c r="D43" s="44"/>
      <c r="E43" s="1" t="s">
        <v>45</v>
      </c>
      <c r="F43" s="1" t="s">
        <v>24</v>
      </c>
      <c r="G43" s="1" t="s">
        <v>24</v>
      </c>
      <c r="H43" s="26">
        <v>50</v>
      </c>
      <c r="I43" s="27" t="str">
        <f>HYPERLINK("https://doc.morningstar.com/Document/cc2de97ae496f61e86d98e9defba2c6b.msdoc?clientid=fnz&amp;key=9c0e4d166b60ffd3","TMD")</f>
        <v>TMD</v>
      </c>
      <c r="J43" t="s">
        <v>25</v>
      </c>
      <c r="K43" s="1" t="s">
        <v>25</v>
      </c>
      <c r="L43" s="1" t="s">
        <v>25</v>
      </c>
      <c r="M43" s="1" t="s">
        <v>25</v>
      </c>
      <c r="N43" s="1" t="s">
        <v>26</v>
      </c>
      <c r="O43" s="1" t="s">
        <v>26</v>
      </c>
      <c r="P43" s="1" t="s">
        <v>27</v>
      </c>
      <c r="Q43" s="1" t="s">
        <v>27</v>
      </c>
    </row>
    <row r="44" spans="1:17" ht="16.5" customHeight="1" x14ac:dyDescent="0.25">
      <c r="A44" s="1" t="s">
        <v>58</v>
      </c>
      <c r="B44" s="1" t="s">
        <v>103</v>
      </c>
      <c r="C44" s="1" t="s">
        <v>104</v>
      </c>
      <c r="D44" s="44"/>
      <c r="E44" s="1" t="s">
        <v>61</v>
      </c>
      <c r="F44" s="1" t="s">
        <v>24</v>
      </c>
      <c r="G44" s="1" t="s">
        <v>24</v>
      </c>
      <c r="H44" s="26">
        <v>100</v>
      </c>
      <c r="I44" s="27" t="str">
        <f>HYPERLINK("https://doc.morningstar.com/Document/6e55d64760c5a8fe6e6640cd66cdfdc2.msdoc?clientid=fnz&amp;key=9c0e4d166b60ffd3","TMD")</f>
        <v>TMD</v>
      </c>
      <c r="J44" t="s">
        <v>25</v>
      </c>
      <c r="K44" s="1" t="s">
        <v>25</v>
      </c>
      <c r="L44" s="1" t="s">
        <v>25</v>
      </c>
      <c r="M44" s="1" t="s">
        <v>25</v>
      </c>
      <c r="N44" s="1" t="s">
        <v>26</v>
      </c>
      <c r="O44" s="1" t="s">
        <v>26</v>
      </c>
      <c r="P44" s="1" t="s">
        <v>27</v>
      </c>
      <c r="Q44" s="1" t="s">
        <v>27</v>
      </c>
    </row>
    <row r="45" spans="1:17" ht="16.5" customHeight="1" x14ac:dyDescent="0.25">
      <c r="A45" s="1" t="s">
        <v>28</v>
      </c>
      <c r="B45" s="1" t="s">
        <v>105</v>
      </c>
      <c r="C45" s="1" t="s">
        <v>106</v>
      </c>
      <c r="D45" s="44"/>
      <c r="E45" s="1" t="s">
        <v>61</v>
      </c>
      <c r="F45" s="1" t="s">
        <v>24</v>
      </c>
      <c r="G45" s="1" t="s">
        <v>24</v>
      </c>
      <c r="H45" s="26">
        <v>30</v>
      </c>
      <c r="I45" s="27" t="str">
        <f>HYPERLINK("https://doc.morningstar.com/Document/7d39630f89d70744b1bf9f25aeee1a18.msdoc?clientid=fnz&amp;key=9c0e4d166b60ffd3","TMD")</f>
        <v>TMD</v>
      </c>
      <c r="J45" t="s">
        <v>62</v>
      </c>
      <c r="K45" s="1" t="s">
        <v>26</v>
      </c>
      <c r="L45" s="1" t="s">
        <v>27</v>
      </c>
      <c r="M45" s="1" t="s">
        <v>25</v>
      </c>
      <c r="N45" s="1" t="s">
        <v>26</v>
      </c>
      <c r="O45" s="1" t="s">
        <v>26</v>
      </c>
      <c r="P45" s="1" t="s">
        <v>27</v>
      </c>
      <c r="Q45" s="1" t="s">
        <v>27</v>
      </c>
    </row>
    <row r="46" spans="1:17" ht="16.5" customHeight="1" x14ac:dyDescent="0.25">
      <c r="A46" s="1" t="s">
        <v>31</v>
      </c>
      <c r="B46" s="1" t="s">
        <v>107</v>
      </c>
      <c r="C46" s="1" t="s">
        <v>108</v>
      </c>
      <c r="D46" s="44"/>
      <c r="E46" s="1" t="s">
        <v>61</v>
      </c>
      <c r="F46" s="1" t="s">
        <v>24</v>
      </c>
      <c r="G46" s="1" t="s">
        <v>24</v>
      </c>
      <c r="H46" s="26">
        <v>100</v>
      </c>
      <c r="I46" s="27" t="str">
        <f>HYPERLINK("https://doc.morningstar.com/Document/ef3bb3f67a7a7b962c57fcbde9958ac4.msdoc?clientid=fnz&amp;key=9c0e4d166b60ffd3","TMD")</f>
        <v>TMD</v>
      </c>
      <c r="J46" t="s">
        <v>62</v>
      </c>
      <c r="K46" s="1" t="s">
        <v>26</v>
      </c>
      <c r="L46" s="1" t="s">
        <v>27</v>
      </c>
      <c r="M46" s="1" t="s">
        <v>25</v>
      </c>
      <c r="N46" s="1" t="s">
        <v>26</v>
      </c>
      <c r="O46" s="1" t="s">
        <v>26</v>
      </c>
      <c r="P46" s="1" t="s">
        <v>27</v>
      </c>
      <c r="Q46" s="1" t="s">
        <v>27</v>
      </c>
    </row>
    <row r="47" spans="1:17" ht="16.5" customHeight="1" x14ac:dyDescent="0.25">
      <c r="A47" s="1" t="s">
        <v>109</v>
      </c>
      <c r="B47" s="1" t="s">
        <v>110</v>
      </c>
      <c r="C47" s="1" t="s">
        <v>111</v>
      </c>
      <c r="D47" s="44"/>
      <c r="E47" s="1" t="s">
        <v>23</v>
      </c>
      <c r="F47" s="1" t="s">
        <v>24</v>
      </c>
      <c r="G47" s="1" t="s">
        <v>24</v>
      </c>
      <c r="H47" s="26">
        <v>100</v>
      </c>
      <c r="I47" s="27" t="str">
        <f>HYPERLINK("https://doc.morningstar.com/Document/cb1535286672015f77564a3e051ea061.msdoc?clientid=fnz&amp;key=9c0e4d166b60ffd3","TMD")</f>
        <v>TMD</v>
      </c>
      <c r="J47" t="s">
        <v>25</v>
      </c>
      <c r="K47" s="1" t="s">
        <v>25</v>
      </c>
      <c r="L47" s="1" t="s">
        <v>25</v>
      </c>
      <c r="M47" s="1" t="s">
        <v>25</v>
      </c>
      <c r="N47" s="1" t="s">
        <v>26</v>
      </c>
      <c r="O47" s="1" t="s">
        <v>27</v>
      </c>
      <c r="P47" s="1" t="s">
        <v>27</v>
      </c>
      <c r="Q47" s="1" t="s">
        <v>26</v>
      </c>
    </row>
    <row r="48" spans="1:17" ht="16.5" customHeight="1" x14ac:dyDescent="0.25">
      <c r="A48" s="1" t="s">
        <v>34</v>
      </c>
      <c r="B48" s="1" t="s">
        <v>112</v>
      </c>
      <c r="C48" s="1" t="s">
        <v>113</v>
      </c>
      <c r="D48" s="44"/>
      <c r="E48" s="1" t="s">
        <v>23</v>
      </c>
      <c r="F48" s="1" t="s">
        <v>24</v>
      </c>
      <c r="G48" s="1" t="s">
        <v>24</v>
      </c>
      <c r="H48" s="26">
        <v>30</v>
      </c>
      <c r="I48" s="27" t="str">
        <f>HYPERLINK("https://doc.morningstar.com/Document/5b7ae9a451d5987cbcdb2e2b55de13eb.msdoc?clientid=fnz&amp;key=9c0e4d166b60ffd3","TMD")</f>
        <v>TMD</v>
      </c>
      <c r="J48" t="s">
        <v>25</v>
      </c>
      <c r="K48" s="1" t="s">
        <v>25</v>
      </c>
      <c r="L48" s="1" t="s">
        <v>25</v>
      </c>
      <c r="M48" s="1" t="s">
        <v>25</v>
      </c>
      <c r="N48" s="1" t="s">
        <v>26</v>
      </c>
      <c r="O48" s="1" t="s">
        <v>26</v>
      </c>
      <c r="P48" s="1" t="s">
        <v>26</v>
      </c>
      <c r="Q48" s="1" t="s">
        <v>27</v>
      </c>
    </row>
    <row r="49" spans="1:17" ht="16.5" customHeight="1" x14ac:dyDescent="0.25">
      <c r="A49" s="1" t="s">
        <v>31</v>
      </c>
      <c r="B49" s="1" t="s">
        <v>114</v>
      </c>
      <c r="C49" s="1" t="s">
        <v>115</v>
      </c>
      <c r="D49" s="44"/>
      <c r="E49" s="1" t="s">
        <v>23</v>
      </c>
      <c r="F49" s="1" t="s">
        <v>24</v>
      </c>
      <c r="G49" s="1" t="s">
        <v>24</v>
      </c>
      <c r="H49" s="26">
        <v>100</v>
      </c>
      <c r="I49" s="27" t="str">
        <f>HYPERLINK("https://doc.morningstar.com/Document/8763455fd146f91a6d4f041846e1af8f.msdoc?clientid=fnz&amp;key=9c0e4d166b60ffd3","TMD")</f>
        <v>TMD</v>
      </c>
      <c r="J49" t="s">
        <v>25</v>
      </c>
      <c r="K49" s="1" t="s">
        <v>25</v>
      </c>
      <c r="L49" s="1" t="s">
        <v>25</v>
      </c>
      <c r="M49" s="1" t="s">
        <v>25</v>
      </c>
      <c r="N49" s="1" t="s">
        <v>26</v>
      </c>
      <c r="O49" s="1" t="s">
        <v>26</v>
      </c>
      <c r="P49" s="1" t="s">
        <v>27</v>
      </c>
      <c r="Q49" s="1" t="s">
        <v>27</v>
      </c>
    </row>
    <row r="50" spans="1:17" ht="16.5" customHeight="1" x14ac:dyDescent="0.25">
      <c r="A50" s="1" t="s">
        <v>31</v>
      </c>
      <c r="B50" s="1" t="s">
        <v>116</v>
      </c>
      <c r="C50" s="1" t="s">
        <v>117</v>
      </c>
      <c r="D50" s="44"/>
      <c r="E50" s="1" t="s">
        <v>23</v>
      </c>
      <c r="F50" s="1" t="s">
        <v>24</v>
      </c>
      <c r="G50" s="1" t="s">
        <v>24</v>
      </c>
      <c r="H50" s="26">
        <v>100</v>
      </c>
      <c r="I50" s="27" t="str">
        <f>HYPERLINK("https://doc.morningstar.com/Document/868d62638d80badb6c54c85c55ca7586.msdoc?clientid=fnz&amp;key=9c0e4d166b60ffd3","TMD")</f>
        <v>TMD</v>
      </c>
      <c r="J50" t="s">
        <v>62</v>
      </c>
      <c r="K50" s="1" t="s">
        <v>25</v>
      </c>
      <c r="L50" s="1" t="s">
        <v>25</v>
      </c>
      <c r="M50" s="1" t="s">
        <v>25</v>
      </c>
      <c r="N50" s="1" t="s">
        <v>26</v>
      </c>
      <c r="O50" s="1" t="s">
        <v>26</v>
      </c>
      <c r="P50" s="1" t="s">
        <v>27</v>
      </c>
      <c r="Q50" s="1" t="s">
        <v>27</v>
      </c>
    </row>
    <row r="51" spans="1:17" ht="16.5" customHeight="1" x14ac:dyDescent="0.25">
      <c r="A51" s="1" t="s">
        <v>58</v>
      </c>
      <c r="B51" s="1" t="s">
        <v>118</v>
      </c>
      <c r="C51" s="1" t="s">
        <v>119</v>
      </c>
      <c r="D51" s="44"/>
      <c r="E51" s="1" t="s">
        <v>40</v>
      </c>
      <c r="F51" s="1" t="s">
        <v>24</v>
      </c>
      <c r="G51" s="1" t="s">
        <v>24</v>
      </c>
      <c r="H51" s="26">
        <v>100</v>
      </c>
      <c r="I51" s="27" t="str">
        <f>HYPERLINK("https://doc.morningstar.com/Document/89c6cb661ad18514977f5cbf1fc9a298.msdoc?clientid=fnz&amp;key=9c0e4d166b60ffd3","TMD")</f>
        <v>TMD</v>
      </c>
      <c r="J51" t="s">
        <v>25</v>
      </c>
      <c r="K51" s="1" t="s">
        <v>25</v>
      </c>
      <c r="L51" s="1" t="s">
        <v>25</v>
      </c>
      <c r="M51" s="1" t="s">
        <v>25</v>
      </c>
      <c r="N51" s="1" t="s">
        <v>26</v>
      </c>
      <c r="O51" s="1" t="s">
        <v>26</v>
      </c>
      <c r="P51" s="1" t="s">
        <v>27</v>
      </c>
      <c r="Q51" s="1" t="s">
        <v>27</v>
      </c>
    </row>
    <row r="52" spans="1:17" ht="16.5" customHeight="1" x14ac:dyDescent="0.25">
      <c r="A52" s="1" t="s">
        <v>81</v>
      </c>
      <c r="B52" s="1" t="s">
        <v>120</v>
      </c>
      <c r="C52" s="1" t="s">
        <v>121</v>
      </c>
      <c r="D52" s="44"/>
      <c r="E52" s="1" t="s">
        <v>40</v>
      </c>
      <c r="F52" s="1" t="s">
        <v>24</v>
      </c>
      <c r="G52" s="1" t="s">
        <v>24</v>
      </c>
      <c r="H52" s="26">
        <v>50</v>
      </c>
      <c r="I52" s="27" t="str">
        <f>HYPERLINK("https://doc.morningstar.com/Document/8fc1489dc4a0aae76fe5b8e3db7e3e04.msdoc?clientid=fnz&amp;key=9c0e4d166b60ffd3","TMD")</f>
        <v>TMD</v>
      </c>
      <c r="J52" t="s">
        <v>62</v>
      </c>
      <c r="K52" s="1" t="s">
        <v>25</v>
      </c>
      <c r="L52" s="1" t="s">
        <v>25</v>
      </c>
      <c r="M52" s="1" t="s">
        <v>25</v>
      </c>
      <c r="N52" s="1" t="s">
        <v>26</v>
      </c>
      <c r="O52" s="1" t="s">
        <v>26</v>
      </c>
      <c r="P52" s="1" t="s">
        <v>27</v>
      </c>
      <c r="Q52" s="1" t="s">
        <v>27</v>
      </c>
    </row>
    <row r="53" spans="1:17" ht="16.5" customHeight="1" x14ac:dyDescent="0.25">
      <c r="A53" s="1" t="s">
        <v>122</v>
      </c>
      <c r="B53" s="1" t="s">
        <v>123</v>
      </c>
      <c r="C53" s="1" t="s">
        <v>124</v>
      </c>
      <c r="D53" s="44"/>
      <c r="E53" s="1" t="s">
        <v>23</v>
      </c>
      <c r="F53" s="1" t="s">
        <v>24</v>
      </c>
      <c r="G53" s="1" t="s">
        <v>24</v>
      </c>
      <c r="H53" s="26">
        <v>100</v>
      </c>
      <c r="I53" s="27" t="str">
        <f>HYPERLINK("https://doc.morningstar.com/Document/4987852dca8c4e2b523cd62f6f9d70f1.msdoc?clientid=fnz&amp;key=9c0e4d166b60ffd3","TMD")</f>
        <v>TMD</v>
      </c>
      <c r="J53" t="s">
        <v>62</v>
      </c>
      <c r="K53" s="1" t="s">
        <v>25</v>
      </c>
      <c r="L53" s="1" t="s">
        <v>25</v>
      </c>
      <c r="M53" s="1" t="s">
        <v>25</v>
      </c>
      <c r="N53" s="1" t="s">
        <v>26</v>
      </c>
      <c r="O53" s="1" t="s">
        <v>26</v>
      </c>
      <c r="P53" s="1" t="s">
        <v>27</v>
      </c>
      <c r="Q53" s="1" t="s">
        <v>27</v>
      </c>
    </row>
    <row r="54" spans="1:17" ht="16.5" customHeight="1" x14ac:dyDescent="0.25">
      <c r="A54" s="1" t="s">
        <v>76</v>
      </c>
      <c r="B54" s="1" t="s">
        <v>125</v>
      </c>
      <c r="C54" s="1" t="s">
        <v>126</v>
      </c>
      <c r="D54" s="44"/>
      <c r="E54" s="1" t="s">
        <v>23</v>
      </c>
      <c r="F54" s="1" t="s">
        <v>24</v>
      </c>
      <c r="G54" s="1" t="s">
        <v>24</v>
      </c>
      <c r="H54" s="26">
        <v>100</v>
      </c>
      <c r="I54" s="27" t="str">
        <f>HYPERLINK("https://doc.morningstar.com/Document/6772a27ddb72bd97572f3894b838bb10.msdoc?clientid=fnz&amp;key=9c0e4d166b60ffd3","TMD")</f>
        <v>TMD</v>
      </c>
      <c r="J54" t="s">
        <v>62</v>
      </c>
      <c r="K54" s="1" t="s">
        <v>25</v>
      </c>
      <c r="L54" s="1" t="s">
        <v>25</v>
      </c>
      <c r="M54" s="1" t="s">
        <v>25</v>
      </c>
      <c r="N54" s="1" t="s">
        <v>26</v>
      </c>
      <c r="O54" s="1" t="s">
        <v>27</v>
      </c>
      <c r="P54" s="1" t="s">
        <v>27</v>
      </c>
      <c r="Q54" s="1" t="s">
        <v>26</v>
      </c>
    </row>
    <row r="55" spans="1:17" ht="16.5" customHeight="1" x14ac:dyDescent="0.25">
      <c r="A55" s="1" t="s">
        <v>109</v>
      </c>
      <c r="B55" s="1" t="s">
        <v>127</v>
      </c>
      <c r="C55" s="1" t="s">
        <v>128</v>
      </c>
      <c r="D55" s="44"/>
      <c r="E55" s="1" t="s">
        <v>23</v>
      </c>
      <c r="F55" s="1" t="s">
        <v>24</v>
      </c>
      <c r="G55" s="1" t="s">
        <v>24</v>
      </c>
      <c r="H55" s="26">
        <v>100</v>
      </c>
      <c r="I55" s="27" t="str">
        <f>HYPERLINK("https://doc.morningstar.com/Document/cc4cbe327c7e4d50eaba0597ee9b45af.msdoc?clientid=fnz&amp;key=9c0e4d166b60ffd3","TMD")</f>
        <v>TMD</v>
      </c>
      <c r="J55" t="s">
        <v>62</v>
      </c>
      <c r="K55" s="1" t="s">
        <v>25</v>
      </c>
      <c r="L55" s="1" t="s">
        <v>25</v>
      </c>
      <c r="M55" s="1" t="s">
        <v>25</v>
      </c>
      <c r="N55" s="1" t="s">
        <v>26</v>
      </c>
      <c r="O55" s="1" t="s">
        <v>26</v>
      </c>
      <c r="P55" s="1" t="s">
        <v>27</v>
      </c>
      <c r="Q55" s="1" t="s">
        <v>27</v>
      </c>
    </row>
    <row r="56" spans="1:17" ht="16.5" customHeight="1" x14ac:dyDescent="0.25">
      <c r="A56" s="1" t="s">
        <v>52</v>
      </c>
      <c r="B56" s="1" t="s">
        <v>129</v>
      </c>
      <c r="C56" s="1" t="s">
        <v>130</v>
      </c>
      <c r="D56" s="44"/>
      <c r="E56" s="1" t="s">
        <v>40</v>
      </c>
      <c r="F56" s="1" t="s">
        <v>24</v>
      </c>
      <c r="G56" s="1" t="s">
        <v>24</v>
      </c>
      <c r="H56" s="26">
        <v>100</v>
      </c>
      <c r="I56" s="27" t="str">
        <f>HYPERLINK("https://doc.morningstar.com/Document/c443f082289bf1378b346b90b5a58561.msdoc?clientid=fnz&amp;key=9c0e4d166b60ffd3","TMD")</f>
        <v>TMD</v>
      </c>
      <c r="J56" t="s">
        <v>62</v>
      </c>
      <c r="K56" s="1" t="s">
        <v>25</v>
      </c>
      <c r="L56" s="1" t="s">
        <v>25</v>
      </c>
      <c r="M56" s="1" t="s">
        <v>25</v>
      </c>
      <c r="N56" s="1" t="s">
        <v>26</v>
      </c>
      <c r="O56" s="1" t="s">
        <v>27</v>
      </c>
      <c r="P56" s="1" t="s">
        <v>26</v>
      </c>
      <c r="Q56" s="1" t="s">
        <v>26</v>
      </c>
    </row>
    <row r="57" spans="1:17" ht="16.5" customHeight="1" x14ac:dyDescent="0.25">
      <c r="A57" s="1" t="s">
        <v>81</v>
      </c>
      <c r="B57" s="1" t="s">
        <v>131</v>
      </c>
      <c r="C57" s="1" t="s">
        <v>132</v>
      </c>
      <c r="D57" s="44"/>
      <c r="E57" s="1" t="s">
        <v>40</v>
      </c>
      <c r="F57" s="1" t="s">
        <v>24</v>
      </c>
      <c r="G57" s="1" t="s">
        <v>24</v>
      </c>
      <c r="H57" s="26">
        <v>50</v>
      </c>
      <c r="I57" s="27" t="str">
        <f>HYPERLINK("https://doc.morningstar.com/Document/d286890a375d89fe19faa20d437b74ee.msdoc?clientid=fnz&amp;key=9c0e4d166b60ffd3","TMD")</f>
        <v>TMD</v>
      </c>
      <c r="J57" t="s">
        <v>62</v>
      </c>
      <c r="K57" s="1" t="s">
        <v>25</v>
      </c>
      <c r="L57" s="1" t="s">
        <v>25</v>
      </c>
      <c r="M57" s="1" t="s">
        <v>25</v>
      </c>
      <c r="N57" s="1" t="s">
        <v>26</v>
      </c>
      <c r="O57" s="1" t="s">
        <v>26</v>
      </c>
      <c r="P57" s="1" t="s">
        <v>27</v>
      </c>
      <c r="Q57" s="1" t="s">
        <v>27</v>
      </c>
    </row>
    <row r="58" spans="1:17" ht="16.5" customHeight="1" x14ac:dyDescent="0.25">
      <c r="A58" s="1" t="s">
        <v>109</v>
      </c>
      <c r="B58" s="1" t="s">
        <v>133</v>
      </c>
      <c r="C58" s="1" t="s">
        <v>134</v>
      </c>
      <c r="D58" s="44"/>
      <c r="E58" s="1" t="s">
        <v>40</v>
      </c>
      <c r="F58" s="1" t="s">
        <v>24</v>
      </c>
      <c r="G58" s="1" t="s">
        <v>24</v>
      </c>
      <c r="H58" s="26">
        <v>100</v>
      </c>
      <c r="I58" s="27" t="str">
        <f>HYPERLINK("https://doc.morningstar.com/Document/0148ea3da8fa1c7263792ac812d29d03.msdoc?clientid=fnz&amp;key=9c0e4d166b60ffd3","TMD")</f>
        <v>TMD</v>
      </c>
      <c r="J58" t="s">
        <v>62</v>
      </c>
      <c r="K58" s="1" t="s">
        <v>26</v>
      </c>
      <c r="L58" s="1" t="s">
        <v>27</v>
      </c>
      <c r="M58" s="1" t="s">
        <v>27</v>
      </c>
      <c r="N58" s="1" t="s">
        <v>26</v>
      </c>
      <c r="O58" s="1" t="s">
        <v>27</v>
      </c>
      <c r="P58" s="1" t="s">
        <v>26</v>
      </c>
      <c r="Q58" s="1" t="s">
        <v>26</v>
      </c>
    </row>
    <row r="59" spans="1:17" ht="16.5" customHeight="1" x14ac:dyDescent="0.25">
      <c r="A59" s="1" t="s">
        <v>31</v>
      </c>
      <c r="B59" s="1" t="s">
        <v>135</v>
      </c>
      <c r="C59" s="1" t="s">
        <v>136</v>
      </c>
      <c r="D59" s="44"/>
      <c r="E59" s="1" t="s">
        <v>40</v>
      </c>
      <c r="F59" s="1" t="s">
        <v>24</v>
      </c>
      <c r="G59" s="1" t="s">
        <v>24</v>
      </c>
      <c r="H59" s="26">
        <v>100</v>
      </c>
      <c r="I59" s="27" t="str">
        <f>HYPERLINK("https://doc.morningstar.com/Document/b8eb762cb00f267b2003970d84118841.msdoc?clientid=fnz&amp;key=9c0e4d166b60ffd3","TMD")</f>
        <v>TMD</v>
      </c>
      <c r="J59" t="s">
        <v>62</v>
      </c>
      <c r="K59" s="1" t="s">
        <v>26</v>
      </c>
      <c r="L59" s="1" t="s">
        <v>27</v>
      </c>
      <c r="M59" s="1" t="s">
        <v>27</v>
      </c>
      <c r="N59" s="1" t="s">
        <v>26</v>
      </c>
      <c r="O59" s="1" t="s">
        <v>27</v>
      </c>
      <c r="P59" s="1" t="s">
        <v>27</v>
      </c>
      <c r="Q59" s="1" t="s">
        <v>26</v>
      </c>
    </row>
    <row r="60" spans="1:17" ht="16.5" customHeight="1" x14ac:dyDescent="0.25">
      <c r="A60" s="1" t="s">
        <v>58</v>
      </c>
      <c r="B60" s="1" t="s">
        <v>137</v>
      </c>
      <c r="C60" s="1" t="s">
        <v>138</v>
      </c>
      <c r="D60" s="44"/>
      <c r="E60" s="1" t="s">
        <v>23</v>
      </c>
      <c r="F60" s="1" t="s">
        <v>24</v>
      </c>
      <c r="G60" s="1" t="s">
        <v>24</v>
      </c>
      <c r="H60" s="26">
        <v>100</v>
      </c>
      <c r="I60" s="27" t="str">
        <f>HYPERLINK("https://doc.morningstar.com/Document/0148ea3da8fa1c7208e3180a39b8d7a4.msdoc?clientid=fnz&amp;key=9c0e4d166b60ffd3","TMD")</f>
        <v>TMD</v>
      </c>
      <c r="J60" t="s">
        <v>62</v>
      </c>
      <c r="K60" s="1" t="s">
        <v>26</v>
      </c>
      <c r="L60" s="1" t="s">
        <v>27</v>
      </c>
      <c r="M60" s="1" t="s">
        <v>27</v>
      </c>
      <c r="N60" s="1" t="s">
        <v>26</v>
      </c>
      <c r="O60" s="1" t="s">
        <v>27</v>
      </c>
      <c r="P60" s="1" t="s">
        <v>27</v>
      </c>
      <c r="Q60" s="1" t="s">
        <v>26</v>
      </c>
    </row>
    <row r="61" spans="1:17" ht="16.5" customHeight="1" x14ac:dyDescent="0.25">
      <c r="A61" s="1" t="s">
        <v>28</v>
      </c>
      <c r="B61" s="1" t="s">
        <v>139</v>
      </c>
      <c r="C61" s="1" t="s">
        <v>140</v>
      </c>
      <c r="D61" s="44"/>
      <c r="E61" s="1" t="s">
        <v>61</v>
      </c>
      <c r="F61" s="1" t="s">
        <v>24</v>
      </c>
      <c r="G61" s="1" t="s">
        <v>24</v>
      </c>
      <c r="H61" s="26">
        <v>30</v>
      </c>
      <c r="I61" s="27" t="str">
        <f>HYPERLINK("https://doc.morningstar.com/Document/6be1fa1f23ad07fb6616f2b7b70582b8.msdoc?clientid=fnz&amp;key=9c0e4d166b60ffd3","TMD")</f>
        <v>TMD</v>
      </c>
      <c r="J61" t="s">
        <v>25</v>
      </c>
      <c r="K61" s="1" t="s">
        <v>26</v>
      </c>
      <c r="L61" s="1" t="s">
        <v>27</v>
      </c>
      <c r="M61" s="1" t="s">
        <v>26</v>
      </c>
      <c r="N61" s="1" t="s">
        <v>26</v>
      </c>
      <c r="O61" s="1" t="s">
        <v>26</v>
      </c>
      <c r="P61" s="1" t="s">
        <v>27</v>
      </c>
      <c r="Q61" s="1" t="s">
        <v>27</v>
      </c>
    </row>
    <row r="62" spans="1:17" ht="16.5" customHeight="1" x14ac:dyDescent="0.25">
      <c r="A62" s="1" t="s">
        <v>141</v>
      </c>
      <c r="B62" s="1" t="s">
        <v>142</v>
      </c>
      <c r="C62" s="1" t="s">
        <v>143</v>
      </c>
      <c r="D62" s="44"/>
      <c r="E62" s="1" t="s">
        <v>61</v>
      </c>
      <c r="F62" s="1" t="s">
        <v>24</v>
      </c>
      <c r="G62" s="1" t="s">
        <v>24</v>
      </c>
      <c r="H62" s="26">
        <v>20</v>
      </c>
      <c r="I62" s="27" t="str">
        <f>HYPERLINK("https://doc.morningstar.com/Document/1c74abb193cbbf81608f5067ea7cb4ab.msdoc?clientid=fnz&amp;key=9c0e4d166b60ffd3","TMD")</f>
        <v>TMD</v>
      </c>
      <c r="J62" t="s">
        <v>25</v>
      </c>
      <c r="K62" s="1" t="s">
        <v>26</v>
      </c>
      <c r="L62" s="1" t="s">
        <v>27</v>
      </c>
      <c r="M62" s="1" t="s">
        <v>26</v>
      </c>
      <c r="N62" s="1" t="s">
        <v>26</v>
      </c>
      <c r="O62" s="1" t="s">
        <v>27</v>
      </c>
      <c r="P62" s="1" t="s">
        <v>27</v>
      </c>
      <c r="Q62" s="1" t="s">
        <v>26</v>
      </c>
    </row>
    <row r="63" spans="1:17" ht="16.5" customHeight="1" x14ac:dyDescent="0.25">
      <c r="A63" s="1" t="s">
        <v>68</v>
      </c>
      <c r="B63" s="1" t="s">
        <v>144</v>
      </c>
      <c r="C63" s="1" t="s">
        <v>145</v>
      </c>
      <c r="D63" s="44"/>
      <c r="E63" s="1" t="s">
        <v>40</v>
      </c>
      <c r="F63" s="1" t="s">
        <v>24</v>
      </c>
      <c r="G63" s="1" t="s">
        <v>24</v>
      </c>
      <c r="H63" s="26">
        <v>100</v>
      </c>
      <c r="I63" s="27" t="str">
        <f>HYPERLINK("https://doc.morningstar.com/Document/4057585babc631f2998ce4443496cd15.msdoc?clientid=fnz&amp;key=9c0e4d166b60ffd3","TMD")</f>
        <v>TMD</v>
      </c>
      <c r="J63" t="s">
        <v>25</v>
      </c>
      <c r="K63" s="1" t="s">
        <v>26</v>
      </c>
      <c r="L63" s="1" t="s">
        <v>27</v>
      </c>
      <c r="M63" s="1" t="s">
        <v>26</v>
      </c>
      <c r="N63" s="1" t="s">
        <v>26</v>
      </c>
      <c r="O63" s="1" t="s">
        <v>27</v>
      </c>
      <c r="P63" s="1" t="s">
        <v>27</v>
      </c>
      <c r="Q63" s="1" t="s">
        <v>27</v>
      </c>
    </row>
    <row r="64" spans="1:17" ht="16.5" customHeight="1" x14ac:dyDescent="0.25">
      <c r="A64" s="1" t="s">
        <v>58</v>
      </c>
      <c r="B64" s="1" t="s">
        <v>146</v>
      </c>
      <c r="C64" s="1" t="s">
        <v>147</v>
      </c>
      <c r="D64" s="44"/>
      <c r="E64" s="1" t="s">
        <v>61</v>
      </c>
      <c r="F64" s="1" t="s">
        <v>24</v>
      </c>
      <c r="G64" s="1" t="s">
        <v>24</v>
      </c>
      <c r="H64" s="26">
        <v>100</v>
      </c>
      <c r="I64" s="27" t="str">
        <f>HYPERLINK("https://doc.morningstar.com/Document/2205655ce539e5e1392fbff442ebf7e6.msdoc?clientid=fnz&amp;key=9c0e4d166b60ffd3","TMD")</f>
        <v>TMD</v>
      </c>
      <c r="J64" t="s">
        <v>25</v>
      </c>
      <c r="K64" s="1" t="s">
        <v>25</v>
      </c>
      <c r="L64" s="1" t="s">
        <v>25</v>
      </c>
      <c r="M64" s="1" t="s">
        <v>25</v>
      </c>
      <c r="N64" s="1" t="s">
        <v>26</v>
      </c>
      <c r="O64" s="1" t="s">
        <v>26</v>
      </c>
      <c r="P64" s="1" t="s">
        <v>27</v>
      </c>
      <c r="Q64" s="1" t="s">
        <v>27</v>
      </c>
    </row>
    <row r="65" spans="1:17" ht="16.5" customHeight="1" x14ac:dyDescent="0.25">
      <c r="A65" s="1" t="s">
        <v>34</v>
      </c>
      <c r="B65" s="1" t="s">
        <v>148</v>
      </c>
      <c r="C65" s="1" t="s">
        <v>149</v>
      </c>
      <c r="D65" s="44"/>
      <c r="E65" s="1" t="s">
        <v>61</v>
      </c>
      <c r="F65" s="1" t="s">
        <v>24</v>
      </c>
      <c r="G65" s="1" t="s">
        <v>24</v>
      </c>
      <c r="H65" s="26">
        <v>30</v>
      </c>
      <c r="I65" s="27" t="str">
        <f>HYPERLINK("https://doc.morningstar.com/Document/993e0428602ad4805bdf29355ec1d0d7.msdoc?clientid=fnz&amp;key=9c0e4d166b60ffd3","TMD")</f>
        <v>TMD</v>
      </c>
      <c r="J65" t="s">
        <v>25</v>
      </c>
      <c r="K65" s="1" t="s">
        <v>26</v>
      </c>
      <c r="L65" s="1" t="s">
        <v>27</v>
      </c>
      <c r="M65" s="1" t="s">
        <v>26</v>
      </c>
      <c r="N65" s="1" t="s">
        <v>26</v>
      </c>
      <c r="O65" s="1" t="s">
        <v>26</v>
      </c>
      <c r="P65" s="1" t="s">
        <v>26</v>
      </c>
      <c r="Q65" s="1" t="s">
        <v>27</v>
      </c>
    </row>
    <row r="66" spans="1:17" ht="16.5" customHeight="1" x14ac:dyDescent="0.25">
      <c r="A66" s="1" t="s">
        <v>76</v>
      </c>
      <c r="B66" s="1" t="s">
        <v>150</v>
      </c>
      <c r="C66" s="1" t="s">
        <v>151</v>
      </c>
      <c r="D66" s="44"/>
      <c r="E66" s="1" t="s">
        <v>61</v>
      </c>
      <c r="F66" s="1" t="s">
        <v>24</v>
      </c>
      <c r="G66" s="1" t="s">
        <v>24</v>
      </c>
      <c r="H66" s="26">
        <v>100</v>
      </c>
      <c r="I66" s="27" t="str">
        <f>HYPERLINK("https://doc.morningstar.com/Document/4865ec8d9c8a64d01bc4c309811af47f.msdoc?clientid=fnz&amp;key=9c0e4d166b60ffd3","TMD")</f>
        <v>TMD</v>
      </c>
      <c r="J66" t="s">
        <v>25</v>
      </c>
      <c r="K66" s="1" t="s">
        <v>26</v>
      </c>
      <c r="L66" s="1" t="s">
        <v>27</v>
      </c>
      <c r="M66" s="1" t="s">
        <v>26</v>
      </c>
      <c r="N66" s="1" t="s">
        <v>26</v>
      </c>
      <c r="O66" s="1" t="s">
        <v>27</v>
      </c>
      <c r="P66" s="1" t="s">
        <v>27</v>
      </c>
      <c r="Q66" s="1" t="s">
        <v>27</v>
      </c>
    </row>
    <row r="67" spans="1:17" ht="16.5" customHeight="1" x14ac:dyDescent="0.25">
      <c r="A67" s="1" t="s">
        <v>109</v>
      </c>
      <c r="B67" s="1" t="s">
        <v>152</v>
      </c>
      <c r="C67" s="1" t="s">
        <v>153</v>
      </c>
      <c r="D67" s="44"/>
      <c r="E67" s="1" t="s">
        <v>61</v>
      </c>
      <c r="F67" s="1" t="s">
        <v>24</v>
      </c>
      <c r="G67" s="1" t="s">
        <v>24</v>
      </c>
      <c r="H67" s="26">
        <v>100</v>
      </c>
      <c r="I67" s="27" t="str">
        <f>HYPERLINK("https://doc.morningstar.com/Document/4865ec8d9c8a64d01bc4c309811af47f.msdoc?clientid=fnz&amp;key=9c0e4d166b60ffd3","TMD")</f>
        <v>TMD</v>
      </c>
      <c r="J67" t="s">
        <v>25</v>
      </c>
      <c r="K67" s="1" t="s">
        <v>26</v>
      </c>
      <c r="L67" s="1" t="s">
        <v>27</v>
      </c>
      <c r="M67" s="1" t="s">
        <v>26</v>
      </c>
      <c r="N67" s="1" t="s">
        <v>26</v>
      </c>
      <c r="O67" s="1" t="s">
        <v>27</v>
      </c>
      <c r="P67" s="1" t="s">
        <v>27</v>
      </c>
      <c r="Q67" s="1" t="s">
        <v>27</v>
      </c>
    </row>
    <row r="68" spans="1:17" ht="16.5" customHeight="1" x14ac:dyDescent="0.25">
      <c r="A68" s="1" t="s">
        <v>141</v>
      </c>
      <c r="B68" s="1" t="s">
        <v>154</v>
      </c>
      <c r="C68" s="1" t="s">
        <v>155</v>
      </c>
      <c r="D68" s="44"/>
      <c r="E68" s="1" t="s">
        <v>61</v>
      </c>
      <c r="F68" s="1" t="s">
        <v>24</v>
      </c>
      <c r="G68" s="1" t="s">
        <v>24</v>
      </c>
      <c r="H68" s="26">
        <v>20</v>
      </c>
      <c r="I68" s="27" t="str">
        <f>HYPERLINK("https://doc.morningstar.com/Document/9ca278034a206aa614eaa1c619c60591.msdoc?clientid=fnz&amp;key=9c0e4d166b60ffd3","TMD")</f>
        <v>TMD</v>
      </c>
      <c r="J68" t="s">
        <v>25</v>
      </c>
      <c r="K68" s="1" t="s">
        <v>26</v>
      </c>
      <c r="L68" s="1" t="s">
        <v>27</v>
      </c>
      <c r="M68" s="1" t="s">
        <v>26</v>
      </c>
      <c r="N68" s="1" t="s">
        <v>26</v>
      </c>
      <c r="O68" s="1" t="s">
        <v>27</v>
      </c>
      <c r="P68" s="1" t="s">
        <v>27</v>
      </c>
      <c r="Q68" s="1" t="s">
        <v>26</v>
      </c>
    </row>
    <row r="69" spans="1:17" ht="16.5" customHeight="1" x14ac:dyDescent="0.25">
      <c r="A69" s="1" t="s">
        <v>76</v>
      </c>
      <c r="B69" s="1" t="s">
        <v>156</v>
      </c>
      <c r="C69" s="1" t="s">
        <v>157</v>
      </c>
      <c r="D69" s="44"/>
      <c r="E69" s="1" t="s">
        <v>61</v>
      </c>
      <c r="F69" s="1" t="s">
        <v>24</v>
      </c>
      <c r="G69" s="1" t="s">
        <v>24</v>
      </c>
      <c r="H69" s="26">
        <v>100</v>
      </c>
      <c r="I69" s="27" t="str">
        <f>HYPERLINK("https://doc.morningstar.com/Document/4865ec8d9c8a64d01bc4c309811af47f.msdoc?clientid=fnz&amp;key=9c0e4d166b60ffd3","TMD")</f>
        <v>TMD</v>
      </c>
      <c r="J69" t="s">
        <v>25</v>
      </c>
      <c r="K69" s="1" t="s">
        <v>26</v>
      </c>
      <c r="L69" s="1" t="s">
        <v>27</v>
      </c>
      <c r="M69" s="1" t="s">
        <v>26</v>
      </c>
      <c r="N69" s="1" t="s">
        <v>26</v>
      </c>
      <c r="O69" s="1" t="s">
        <v>27</v>
      </c>
      <c r="P69" s="1" t="s">
        <v>27</v>
      </c>
      <c r="Q69" s="1" t="s">
        <v>27</v>
      </c>
    </row>
    <row r="70" spans="1:17" ht="16.5" customHeight="1" x14ac:dyDescent="0.25">
      <c r="A70" s="1" t="s">
        <v>28</v>
      </c>
      <c r="B70" s="1" t="s">
        <v>158</v>
      </c>
      <c r="C70" s="1" t="s">
        <v>159</v>
      </c>
      <c r="D70" s="44"/>
      <c r="E70" s="1" t="s">
        <v>61</v>
      </c>
      <c r="F70" s="1" t="s">
        <v>24</v>
      </c>
      <c r="G70" s="1" t="s">
        <v>24</v>
      </c>
      <c r="H70" s="26">
        <v>30</v>
      </c>
      <c r="I70" s="27" t="str">
        <f>HYPERLINK("https://doc.morningstar.com/Document/2205655ce539e5e1392fbff442ebf7e6.msdoc?clientid=fnz&amp;key=9c0e4d166b60ffd3","TMD")</f>
        <v>TMD</v>
      </c>
      <c r="J70" t="s">
        <v>25</v>
      </c>
      <c r="K70" s="1" t="s">
        <v>25</v>
      </c>
      <c r="L70" s="1" t="s">
        <v>25</v>
      </c>
      <c r="M70" s="1" t="s">
        <v>25</v>
      </c>
      <c r="N70" s="1" t="s">
        <v>26</v>
      </c>
      <c r="O70" s="1" t="s">
        <v>26</v>
      </c>
      <c r="P70" s="1" t="s">
        <v>27</v>
      </c>
      <c r="Q70" s="1" t="s">
        <v>27</v>
      </c>
    </row>
    <row r="71" spans="1:17" ht="16.5" customHeight="1" x14ac:dyDescent="0.25">
      <c r="A71" s="1" t="s">
        <v>31</v>
      </c>
      <c r="B71" s="1" t="s">
        <v>160</v>
      </c>
      <c r="C71" s="1" t="s">
        <v>161</v>
      </c>
      <c r="D71" s="44"/>
      <c r="E71" s="1" t="s">
        <v>23</v>
      </c>
      <c r="F71" s="1" t="s">
        <v>24</v>
      </c>
      <c r="G71" s="1" t="s">
        <v>24</v>
      </c>
      <c r="H71" s="26">
        <v>100</v>
      </c>
      <c r="I71" s="27" t="str">
        <f>HYPERLINK("https://doc.morningstar.com/Document/b395cf429100353cf8c10266d3c0f463.msdoc?clientid=fnz&amp;key=9c0e4d166b60ffd3","TMD")</f>
        <v>TMD</v>
      </c>
      <c r="J71" t="s">
        <v>62</v>
      </c>
      <c r="K71" s="1" t="s">
        <v>25</v>
      </c>
      <c r="L71" s="1" t="s">
        <v>25</v>
      </c>
      <c r="M71" s="1" t="s">
        <v>25</v>
      </c>
      <c r="N71" s="1" t="s">
        <v>26</v>
      </c>
      <c r="O71" s="1" t="s">
        <v>26</v>
      </c>
      <c r="P71" s="1" t="s">
        <v>26</v>
      </c>
      <c r="Q71" s="1" t="s">
        <v>27</v>
      </c>
    </row>
    <row r="72" spans="1:17" ht="16.5" customHeight="1" x14ac:dyDescent="0.25">
      <c r="A72" s="1" t="s">
        <v>31</v>
      </c>
      <c r="B72" s="1" t="s">
        <v>162</v>
      </c>
      <c r="C72" s="1" t="s">
        <v>163</v>
      </c>
      <c r="D72" s="44"/>
      <c r="E72" s="1" t="s">
        <v>23</v>
      </c>
      <c r="F72" s="1" t="s">
        <v>24</v>
      </c>
      <c r="G72" s="1" t="s">
        <v>24</v>
      </c>
      <c r="H72" s="26">
        <v>100</v>
      </c>
      <c r="I72" s="27" t="str">
        <f>HYPERLINK("https://doc.morningstar.com/Document/634d51fd60f67ab1236ec1f3df93a927.msdoc?clientid=fnz&amp;key=9c0e4d166b60ffd3","TMD")</f>
        <v>TMD</v>
      </c>
      <c r="J72" t="s">
        <v>25</v>
      </c>
      <c r="K72" s="1" t="s">
        <v>26</v>
      </c>
      <c r="L72" s="1" t="s">
        <v>26</v>
      </c>
      <c r="M72" s="1" t="s">
        <v>27</v>
      </c>
      <c r="N72" s="1" t="s">
        <v>26</v>
      </c>
      <c r="O72" s="1" t="s">
        <v>26</v>
      </c>
      <c r="P72" s="1" t="s">
        <v>27</v>
      </c>
      <c r="Q72" s="1" t="s">
        <v>27</v>
      </c>
    </row>
    <row r="73" spans="1:17" ht="16.5" customHeight="1" x14ac:dyDescent="0.25">
      <c r="A73" s="1" t="s">
        <v>31</v>
      </c>
      <c r="B73" s="1" t="s">
        <v>164</v>
      </c>
      <c r="C73" s="1" t="s">
        <v>165</v>
      </c>
      <c r="D73" s="44"/>
      <c r="E73" s="1" t="s">
        <v>23</v>
      </c>
      <c r="F73" s="1" t="s">
        <v>24</v>
      </c>
      <c r="G73" s="1" t="s">
        <v>24</v>
      </c>
      <c r="H73" s="26">
        <v>100</v>
      </c>
      <c r="I73" s="27" t="str">
        <f>HYPERLINK("https://doc.morningstar.com/Document/d20ab86f4e1388136ad4e28df992e750.msdoc?clientid=fnz&amp;key=9c0e4d166b60ffd3","TMD")</f>
        <v>TMD</v>
      </c>
      <c r="J73" t="s">
        <v>25</v>
      </c>
      <c r="K73" s="1" t="s">
        <v>26</v>
      </c>
      <c r="L73" s="1" t="s">
        <v>26</v>
      </c>
      <c r="M73" s="1" t="s">
        <v>27</v>
      </c>
      <c r="N73" s="1" t="s">
        <v>26</v>
      </c>
      <c r="O73" s="1" t="s">
        <v>26</v>
      </c>
      <c r="P73" s="1" t="s">
        <v>27</v>
      </c>
      <c r="Q73" s="1" t="s">
        <v>27</v>
      </c>
    </row>
    <row r="74" spans="1:17" ht="16.5" customHeight="1" x14ac:dyDescent="0.25">
      <c r="A74" s="1" t="s">
        <v>28</v>
      </c>
      <c r="B74" s="1" t="s">
        <v>166</v>
      </c>
      <c r="C74" s="1" t="s">
        <v>167</v>
      </c>
      <c r="D74" s="44"/>
      <c r="E74" s="1" t="s">
        <v>61</v>
      </c>
      <c r="F74" s="1" t="s">
        <v>24</v>
      </c>
      <c r="G74" s="1" t="s">
        <v>24</v>
      </c>
      <c r="H74" s="26">
        <v>30</v>
      </c>
      <c r="I74" s="27" t="str">
        <f>HYPERLINK("https://doc.morningstar.com/Document/2a52563adabe7116fcb5fff8a06694f0.msdoc?clientid=fnz&amp;key=9c0e4d166b60ffd3","TMD")</f>
        <v>TMD</v>
      </c>
      <c r="J74" t="s">
        <v>62</v>
      </c>
      <c r="K74" s="1" t="s">
        <v>25</v>
      </c>
      <c r="L74" s="1" t="s">
        <v>25</v>
      </c>
      <c r="M74" s="1" t="s">
        <v>25</v>
      </c>
      <c r="N74" s="1" t="s">
        <v>26</v>
      </c>
      <c r="O74" s="1" t="s">
        <v>26</v>
      </c>
      <c r="P74" s="1" t="s">
        <v>27</v>
      </c>
      <c r="Q74" s="1" t="s">
        <v>27</v>
      </c>
    </row>
    <row r="75" spans="1:17" ht="16.5" customHeight="1" x14ac:dyDescent="0.25">
      <c r="A75" s="1" t="s">
        <v>37</v>
      </c>
      <c r="B75" s="1" t="s">
        <v>168</v>
      </c>
      <c r="C75" s="1" t="s">
        <v>169</v>
      </c>
      <c r="D75" s="44"/>
      <c r="E75" s="1" t="s">
        <v>40</v>
      </c>
      <c r="F75" s="1" t="s">
        <v>24</v>
      </c>
      <c r="G75" s="1" t="s">
        <v>24</v>
      </c>
      <c r="H75" s="26">
        <v>50</v>
      </c>
      <c r="I75" s="27" t="str">
        <f>HYPERLINK("https://doc.morningstar.com/Document/634d51fd60f67ab1cd599f272b9a5090.msdoc?clientid=fnz&amp;key=9c0e4d166b60ffd3","TMD")</f>
        <v>TMD</v>
      </c>
      <c r="J75" t="s">
        <v>25</v>
      </c>
      <c r="K75" s="1" t="s">
        <v>26</v>
      </c>
      <c r="L75" s="1" t="s">
        <v>27</v>
      </c>
      <c r="M75" s="1" t="s">
        <v>26</v>
      </c>
      <c r="N75" s="1" t="s">
        <v>26</v>
      </c>
      <c r="O75" s="1" t="s">
        <v>26</v>
      </c>
      <c r="P75" s="1" t="s">
        <v>27</v>
      </c>
      <c r="Q75" s="1" t="s">
        <v>26</v>
      </c>
    </row>
    <row r="76" spans="1:17" ht="16.5" customHeight="1" x14ac:dyDescent="0.25">
      <c r="A76" s="1" t="s">
        <v>37</v>
      </c>
      <c r="B76" s="1" t="s">
        <v>170</v>
      </c>
      <c r="C76" s="1" t="s">
        <v>171</v>
      </c>
      <c r="D76" s="44"/>
      <c r="E76" s="1" t="s">
        <v>23</v>
      </c>
      <c r="F76" s="1" t="s">
        <v>24</v>
      </c>
      <c r="G76" s="1" t="s">
        <v>24</v>
      </c>
      <c r="H76" s="26">
        <v>50</v>
      </c>
      <c r="I76" s="27" t="str">
        <f>HYPERLINK("https://doc.morningstar.com/Document/3e60baabc0b8893513e07501f8dd6d29.msdoc?clientid=fnz&amp;key=9c0e4d166b60ffd3","TMD")</f>
        <v>TMD</v>
      </c>
      <c r="J76" t="s">
        <v>25</v>
      </c>
      <c r="K76" s="1" t="s">
        <v>26</v>
      </c>
      <c r="L76" s="1" t="s">
        <v>26</v>
      </c>
      <c r="M76" s="1" t="s">
        <v>27</v>
      </c>
      <c r="N76" s="1" t="s">
        <v>26</v>
      </c>
      <c r="O76" s="1" t="s">
        <v>26</v>
      </c>
      <c r="P76" s="1" t="s">
        <v>27</v>
      </c>
      <c r="Q76" s="1" t="s">
        <v>26</v>
      </c>
    </row>
    <row r="77" spans="1:17" ht="16.5" customHeight="1" x14ac:dyDescent="0.25">
      <c r="A77" s="1" t="s">
        <v>37</v>
      </c>
      <c r="B77" s="1" t="s">
        <v>172</v>
      </c>
      <c r="C77" s="1" t="s">
        <v>173</v>
      </c>
      <c r="D77" s="44"/>
      <c r="E77" s="1" t="s">
        <v>40</v>
      </c>
      <c r="F77" s="1" t="s">
        <v>24</v>
      </c>
      <c r="G77" s="1" t="s">
        <v>24</v>
      </c>
      <c r="H77" s="26">
        <v>50</v>
      </c>
      <c r="I77" s="27" t="str">
        <f>HYPERLINK("https://doc.morningstar.com/Document/d20ab86f4e138813f5977b8eec9fb901.msdoc?clientid=fnz&amp;key=9c0e4d166b60ffd3","TMD")</f>
        <v>TMD</v>
      </c>
      <c r="J77" t="s">
        <v>25</v>
      </c>
      <c r="K77" s="1" t="s">
        <v>26</v>
      </c>
      <c r="L77" s="1" t="s">
        <v>27</v>
      </c>
      <c r="M77" s="1" t="s">
        <v>26</v>
      </c>
      <c r="N77" s="1" t="s">
        <v>26</v>
      </c>
      <c r="O77" s="1" t="s">
        <v>26</v>
      </c>
      <c r="P77" s="1" t="s">
        <v>27</v>
      </c>
      <c r="Q77" s="1" t="s">
        <v>26</v>
      </c>
    </row>
    <row r="78" spans="1:17" ht="16.5" customHeight="1" x14ac:dyDescent="0.25">
      <c r="A78" s="1" t="s">
        <v>37</v>
      </c>
      <c r="B78" s="1" t="s">
        <v>174</v>
      </c>
      <c r="C78" s="1" t="s">
        <v>175</v>
      </c>
      <c r="D78" s="44"/>
      <c r="E78" s="1" t="s">
        <v>23</v>
      </c>
      <c r="F78" s="1" t="s">
        <v>24</v>
      </c>
      <c r="G78" s="1" t="s">
        <v>24</v>
      </c>
      <c r="H78" s="26">
        <v>50</v>
      </c>
      <c r="I78" s="27" t="str">
        <f>HYPERLINK("https://doc.morningstar.com/Document/d20ab86f4e1388133e5f8e1a27cd5aa8.msdoc?clientid=fnz&amp;key=9c0e4d166b60ffd3","TMD")</f>
        <v>TMD</v>
      </c>
      <c r="J78" t="s">
        <v>25</v>
      </c>
      <c r="K78" s="1" t="s">
        <v>26</v>
      </c>
      <c r="L78" s="1" t="s">
        <v>26</v>
      </c>
      <c r="M78" s="1" t="s">
        <v>27</v>
      </c>
      <c r="N78" s="1" t="s">
        <v>26</v>
      </c>
      <c r="O78" s="1" t="s">
        <v>26</v>
      </c>
      <c r="P78" s="1" t="s">
        <v>27</v>
      </c>
      <c r="Q78" s="1" t="s">
        <v>26</v>
      </c>
    </row>
    <row r="79" spans="1:17" ht="16.5" customHeight="1" x14ac:dyDescent="0.25">
      <c r="A79" s="1" t="s">
        <v>34</v>
      </c>
      <c r="B79" s="1" t="s">
        <v>176</v>
      </c>
      <c r="C79" s="1" t="s">
        <v>177</v>
      </c>
      <c r="D79" s="44"/>
      <c r="E79" s="1" t="s">
        <v>23</v>
      </c>
      <c r="F79" s="1" t="s">
        <v>24</v>
      </c>
      <c r="G79" s="1" t="s">
        <v>24</v>
      </c>
      <c r="H79" s="26">
        <v>30</v>
      </c>
      <c r="I79" s="27" t="str">
        <f>HYPERLINK("https://doc.morningstar.com/Document/7af4e9961b529ae30e3d45ba0bd1c52e.msdoc?clientid=fnz&amp;key=9c0e4d166b60ffd3","TMD")</f>
        <v>TMD</v>
      </c>
      <c r="J79" t="s">
        <v>25</v>
      </c>
      <c r="K79" s="1" t="s">
        <v>26</v>
      </c>
      <c r="L79" s="1" t="s">
        <v>26</v>
      </c>
      <c r="M79" s="1" t="s">
        <v>27</v>
      </c>
      <c r="N79" s="1" t="s">
        <v>26</v>
      </c>
      <c r="O79" s="1" t="s">
        <v>26</v>
      </c>
      <c r="P79" s="1" t="s">
        <v>27</v>
      </c>
      <c r="Q79" s="1" t="s">
        <v>27</v>
      </c>
    </row>
    <row r="80" spans="1:17" ht="16.5" customHeight="1" x14ac:dyDescent="0.25">
      <c r="A80" s="1" t="s">
        <v>52</v>
      </c>
      <c r="B80" s="1" t="s">
        <v>178</v>
      </c>
      <c r="C80" s="1" t="s">
        <v>179</v>
      </c>
      <c r="D80" s="44"/>
      <c r="E80" s="1" t="s">
        <v>40</v>
      </c>
      <c r="F80" s="1" t="s">
        <v>24</v>
      </c>
      <c r="G80" s="1" t="s">
        <v>24</v>
      </c>
      <c r="H80" s="26">
        <v>100</v>
      </c>
      <c r="I80" s="27" t="str">
        <f>HYPERLINK("https://doc.morningstar.com/Document/f3c3a685305fae3b4e6282e03ec6d101.msdoc?clientid=fnz&amp;key=9c0e4d166b60ffd3","TMD")</f>
        <v>TMD</v>
      </c>
      <c r="J80" t="s">
        <v>62</v>
      </c>
      <c r="K80" s="1" t="s">
        <v>26</v>
      </c>
      <c r="L80" s="1" t="s">
        <v>27</v>
      </c>
      <c r="M80" s="1" t="s">
        <v>27</v>
      </c>
      <c r="N80" s="1" t="s">
        <v>26</v>
      </c>
      <c r="O80" s="1" t="s">
        <v>27</v>
      </c>
      <c r="P80" s="1" t="s">
        <v>26</v>
      </c>
      <c r="Q80" s="1" t="s">
        <v>26</v>
      </c>
    </row>
    <row r="81" spans="1:17" ht="16.5" customHeight="1" x14ac:dyDescent="0.25">
      <c r="A81" s="1" t="s">
        <v>31</v>
      </c>
      <c r="B81" s="1" t="s">
        <v>180</v>
      </c>
      <c r="C81" s="1" t="s">
        <v>181</v>
      </c>
      <c r="D81" s="44"/>
      <c r="E81" s="1" t="s">
        <v>40</v>
      </c>
      <c r="F81" s="1" t="s">
        <v>24</v>
      </c>
      <c r="G81" s="1" t="s">
        <v>24</v>
      </c>
      <c r="H81" s="26">
        <v>100</v>
      </c>
      <c r="I81" s="27" t="str">
        <f>HYPERLINK("https://doc.morningstar.com/Document/f97717b894a651e395107e1a8e17aa3b.msdoc?clientid=fnz&amp;key=9c0e4d166b60ffd3","TMD")</f>
        <v>TMD</v>
      </c>
      <c r="J81" t="s">
        <v>62</v>
      </c>
      <c r="K81" s="1" t="s">
        <v>26</v>
      </c>
      <c r="L81" s="1" t="s">
        <v>27</v>
      </c>
      <c r="M81" s="1" t="s">
        <v>27</v>
      </c>
      <c r="N81" s="1" t="s">
        <v>26</v>
      </c>
      <c r="O81" s="1" t="s">
        <v>27</v>
      </c>
      <c r="P81" s="1" t="s">
        <v>27</v>
      </c>
      <c r="Q81" s="1" t="s">
        <v>26</v>
      </c>
    </row>
    <row r="82" spans="1:17" ht="16.5" customHeight="1" x14ac:dyDescent="0.25">
      <c r="A82" s="1" t="s">
        <v>58</v>
      </c>
      <c r="B82" s="1" t="s">
        <v>182</v>
      </c>
      <c r="C82" s="1" t="s">
        <v>183</v>
      </c>
      <c r="D82" s="44"/>
      <c r="E82" s="1" t="s">
        <v>61</v>
      </c>
      <c r="F82" s="1" t="s">
        <v>24</v>
      </c>
      <c r="G82" s="1" t="s">
        <v>24</v>
      </c>
      <c r="H82" s="26">
        <v>100</v>
      </c>
      <c r="I82" s="27" t="str">
        <f>HYPERLINK("https://doc.morningstar.com/Document/b8eb762cb00f267b73e46d59c79f966d.msdoc?clientid=fnz&amp;key=9c0e4d166b60ffd3","TMD")</f>
        <v>TMD</v>
      </c>
      <c r="J82" t="s">
        <v>62</v>
      </c>
      <c r="K82" s="1" t="s">
        <v>26</v>
      </c>
      <c r="L82" s="1" t="s">
        <v>27</v>
      </c>
      <c r="M82" s="1" t="s">
        <v>27</v>
      </c>
      <c r="N82" s="1" t="s">
        <v>26</v>
      </c>
      <c r="O82" s="1" t="s">
        <v>26</v>
      </c>
      <c r="P82" s="1" t="s">
        <v>27</v>
      </c>
      <c r="Q82" s="1" t="s">
        <v>27</v>
      </c>
    </row>
    <row r="83" spans="1:17" ht="16.5" customHeight="1" x14ac:dyDescent="0.25">
      <c r="A83" s="1" t="s">
        <v>184</v>
      </c>
      <c r="B83" s="1" t="s">
        <v>185</v>
      </c>
      <c r="C83" s="1" t="s">
        <v>186</v>
      </c>
      <c r="D83" s="44"/>
      <c r="E83" s="1" t="s">
        <v>40</v>
      </c>
      <c r="F83" s="1" t="s">
        <v>24</v>
      </c>
      <c r="G83" s="1" t="s">
        <v>24</v>
      </c>
      <c r="H83" s="26">
        <v>100</v>
      </c>
      <c r="I83" s="27" t="str">
        <f>HYPERLINK("https://doc.morningstar.com/Document/f3c3a685305fae3b91952d98a6ee6059.msdoc?clientid=fnz&amp;key=9c0e4d166b60ffd3","TMD")</f>
        <v>TMD</v>
      </c>
      <c r="J83" t="s">
        <v>25</v>
      </c>
      <c r="K83" s="1" t="s">
        <v>26</v>
      </c>
      <c r="L83" s="1" t="s">
        <v>27</v>
      </c>
      <c r="M83" s="1" t="s">
        <v>27</v>
      </c>
      <c r="N83" s="1" t="s">
        <v>26</v>
      </c>
      <c r="O83" s="1" t="s">
        <v>27</v>
      </c>
      <c r="P83" s="1" t="s">
        <v>26</v>
      </c>
      <c r="Q83" s="1" t="s">
        <v>26</v>
      </c>
    </row>
    <row r="84" spans="1:17" ht="16.5" customHeight="1" x14ac:dyDescent="0.25">
      <c r="A84" s="1" t="s">
        <v>58</v>
      </c>
      <c r="B84" s="1" t="s">
        <v>187</v>
      </c>
      <c r="C84" s="1" t="s">
        <v>188</v>
      </c>
      <c r="D84" s="44"/>
      <c r="E84" s="1" t="s">
        <v>61</v>
      </c>
      <c r="F84" s="1" t="s">
        <v>24</v>
      </c>
      <c r="G84" s="1" t="s">
        <v>24</v>
      </c>
      <c r="H84" s="26">
        <v>100</v>
      </c>
      <c r="I84" s="27" t="str">
        <f>HYPERLINK("https://doc.morningstar.com/Document/f3c3a685305fae3bf848a2654744e1d6.msdoc?clientid=fnz&amp;key=9c0e4d166b60ffd3","TMD")</f>
        <v>TMD</v>
      </c>
      <c r="J84" t="s">
        <v>62</v>
      </c>
      <c r="K84" s="1" t="s">
        <v>26</v>
      </c>
      <c r="L84" s="1" t="s">
        <v>27</v>
      </c>
      <c r="M84" s="1" t="s">
        <v>27</v>
      </c>
      <c r="N84" s="1" t="s">
        <v>26</v>
      </c>
      <c r="O84" s="1" t="s">
        <v>27</v>
      </c>
      <c r="P84" s="1" t="s">
        <v>27</v>
      </c>
      <c r="Q84" s="1" t="s">
        <v>26</v>
      </c>
    </row>
    <row r="85" spans="1:17" ht="16.5" customHeight="1" x14ac:dyDescent="0.25">
      <c r="A85" s="1" t="s">
        <v>81</v>
      </c>
      <c r="B85" s="1" t="s">
        <v>189</v>
      </c>
      <c r="C85" s="1" t="s">
        <v>190</v>
      </c>
      <c r="D85" s="44"/>
      <c r="E85" s="1" t="s">
        <v>40</v>
      </c>
      <c r="F85" s="1" t="s">
        <v>24</v>
      </c>
      <c r="G85" s="1" t="s">
        <v>24</v>
      </c>
      <c r="H85" s="26">
        <v>50</v>
      </c>
      <c r="I85" s="27" t="str">
        <f>HYPERLINK("https://doc.morningstar.com/Document/ec654833ae862045c7eca54c7f73aa11.msdoc?clientid=fnz&amp;key=9c0e4d166b60ffd3","TMD")</f>
        <v>TMD</v>
      </c>
      <c r="J85" t="s">
        <v>62</v>
      </c>
      <c r="K85" s="1" t="s">
        <v>26</v>
      </c>
      <c r="L85" s="1" t="s">
        <v>27</v>
      </c>
      <c r="M85" s="1" t="s">
        <v>27</v>
      </c>
      <c r="N85" s="1" t="s">
        <v>26</v>
      </c>
      <c r="O85" s="1" t="s">
        <v>26</v>
      </c>
      <c r="P85" s="1" t="s">
        <v>27</v>
      </c>
      <c r="Q85" s="1" t="s">
        <v>27</v>
      </c>
    </row>
    <row r="86" spans="1:17" ht="16.5" customHeight="1" x14ac:dyDescent="0.25">
      <c r="A86" s="1" t="s">
        <v>58</v>
      </c>
      <c r="B86" s="1" t="s">
        <v>191</v>
      </c>
      <c r="C86" s="1" t="s">
        <v>192</v>
      </c>
      <c r="D86" s="44"/>
      <c r="E86" s="1" t="s">
        <v>23</v>
      </c>
      <c r="F86" s="1" t="s">
        <v>24</v>
      </c>
      <c r="G86" s="1" t="s">
        <v>24</v>
      </c>
      <c r="H86" s="26">
        <v>100</v>
      </c>
      <c r="I86" s="27" t="str">
        <f>HYPERLINK("https://doc.morningstar.com/Document/3d5054f1795dc5b1ba16d4af8ac0c84d.msdoc?clientid=fnz&amp;key=9c0e4d166b60ffd3","TMD")</f>
        <v>TMD</v>
      </c>
      <c r="J86" t="s">
        <v>62</v>
      </c>
      <c r="K86" s="1" t="s">
        <v>26</v>
      </c>
      <c r="L86" s="1" t="s">
        <v>27</v>
      </c>
      <c r="M86" s="1" t="s">
        <v>27</v>
      </c>
      <c r="N86" s="1" t="s">
        <v>26</v>
      </c>
      <c r="O86" s="1" t="s">
        <v>26</v>
      </c>
      <c r="P86" s="1" t="s">
        <v>27</v>
      </c>
      <c r="Q86" s="1" t="s">
        <v>27</v>
      </c>
    </row>
    <row r="87" spans="1:17" ht="16.5" customHeight="1" x14ac:dyDescent="0.25">
      <c r="A87" s="1" t="s">
        <v>141</v>
      </c>
      <c r="B87" s="1" t="s">
        <v>193</v>
      </c>
      <c r="C87" s="1" t="s">
        <v>194</v>
      </c>
      <c r="D87" s="44"/>
      <c r="E87" s="1" t="s">
        <v>61</v>
      </c>
      <c r="F87" s="1" t="s">
        <v>195</v>
      </c>
      <c r="G87" s="1" t="s">
        <v>24</v>
      </c>
      <c r="H87" s="26">
        <v>20</v>
      </c>
      <c r="I87" s="27" t="str">
        <f>HYPERLINK("https://doc.morningstar.com/Document/77ab706e659250d346a233092ac2b5ce.msdoc?clientid=fnz&amp;key=9c0e4d166b60ffd3","TMD")</f>
        <v>TMD</v>
      </c>
      <c r="J87" t="s">
        <v>62</v>
      </c>
      <c r="K87" s="1" t="s">
        <v>25</v>
      </c>
      <c r="L87" s="1" t="s">
        <v>25</v>
      </c>
      <c r="M87" s="1" t="s">
        <v>25</v>
      </c>
      <c r="N87" s="1" t="s">
        <v>25</v>
      </c>
      <c r="O87" s="1" t="s">
        <v>25</v>
      </c>
      <c r="P87" s="1" t="s">
        <v>25</v>
      </c>
      <c r="Q87" s="1" t="s">
        <v>25</v>
      </c>
    </row>
    <row r="88" spans="1:17" ht="16.5" customHeight="1" x14ac:dyDescent="0.25">
      <c r="A88" s="1" t="s">
        <v>81</v>
      </c>
      <c r="B88" s="1" t="s">
        <v>196</v>
      </c>
      <c r="C88" s="1" t="s">
        <v>197</v>
      </c>
      <c r="D88" s="44"/>
      <c r="E88" s="1" t="s">
        <v>40</v>
      </c>
      <c r="F88" s="1" t="s">
        <v>195</v>
      </c>
      <c r="G88" s="1" t="s">
        <v>24</v>
      </c>
      <c r="H88" s="26">
        <v>50</v>
      </c>
      <c r="I88" s="27" t="str">
        <f>HYPERLINK("https://doc.morningstar.com/Document/f3c3a685305fae3bf7b8d7eff9a43922.msdoc?clientid=fnz&amp;key=9c0e4d166b60ffd3","TMD")</f>
        <v>TMD</v>
      </c>
      <c r="J88" t="s">
        <v>25</v>
      </c>
      <c r="K88" s="1" t="s">
        <v>26</v>
      </c>
      <c r="L88" s="1" t="s">
        <v>27</v>
      </c>
      <c r="M88" s="1" t="s">
        <v>27</v>
      </c>
      <c r="N88" s="1" t="s">
        <v>26</v>
      </c>
      <c r="O88" s="1" t="s">
        <v>26</v>
      </c>
      <c r="P88" s="1" t="s">
        <v>27</v>
      </c>
      <c r="Q88" s="1" t="s">
        <v>27</v>
      </c>
    </row>
    <row r="89" spans="1:17" ht="16.5" customHeight="1" x14ac:dyDescent="0.25">
      <c r="A89" s="1" t="s">
        <v>58</v>
      </c>
      <c r="B89" s="1" t="s">
        <v>198</v>
      </c>
      <c r="C89" s="1" t="s">
        <v>199</v>
      </c>
      <c r="D89" s="44"/>
      <c r="E89" s="1" t="s">
        <v>61</v>
      </c>
      <c r="F89" s="1" t="s">
        <v>24</v>
      </c>
      <c r="G89" s="1" t="s">
        <v>24</v>
      </c>
      <c r="H89" s="26">
        <v>100</v>
      </c>
      <c r="I89" s="27" t="str">
        <f>HYPERLINK("https://doc.morningstar.com/Document/f3c3a685305fae3bd6afa91bad2254c5.msdoc?clientid=fnz&amp;key=9c0e4d166b60ffd3","TMD")</f>
        <v>TMD</v>
      </c>
      <c r="J89" t="s">
        <v>62</v>
      </c>
      <c r="K89" s="1" t="s">
        <v>26</v>
      </c>
      <c r="L89" s="1" t="s">
        <v>27</v>
      </c>
      <c r="M89" s="1" t="s">
        <v>27</v>
      </c>
      <c r="N89" s="1" t="s">
        <v>26</v>
      </c>
      <c r="O89" s="1" t="s">
        <v>26</v>
      </c>
      <c r="P89" s="1" t="s">
        <v>27</v>
      </c>
      <c r="Q89" s="1" t="s">
        <v>27</v>
      </c>
    </row>
    <row r="90" spans="1:17" ht="16.5" customHeight="1" x14ac:dyDescent="0.25">
      <c r="A90" s="1" t="s">
        <v>31</v>
      </c>
      <c r="B90" s="1" t="s">
        <v>200</v>
      </c>
      <c r="C90" s="1" t="s">
        <v>201</v>
      </c>
      <c r="D90" s="44"/>
      <c r="E90" s="1" t="s">
        <v>40</v>
      </c>
      <c r="F90" s="1" t="s">
        <v>24</v>
      </c>
      <c r="G90" s="1" t="s">
        <v>24</v>
      </c>
      <c r="H90" s="26">
        <v>100</v>
      </c>
      <c r="I90" s="27" t="str">
        <f>HYPERLINK("https://doc.morningstar.com/Document/1994c8290f8f0efb684fb9f793b4aaf8.msdoc?clientid=fnz&amp;key=9c0e4d166b60ffd3","TMD")</f>
        <v>TMD</v>
      </c>
      <c r="J90" t="s">
        <v>25</v>
      </c>
      <c r="K90" s="1" t="s">
        <v>26</v>
      </c>
      <c r="L90" s="1" t="s">
        <v>27</v>
      </c>
      <c r="M90" s="1" t="s">
        <v>27</v>
      </c>
      <c r="N90" s="1" t="s">
        <v>26</v>
      </c>
      <c r="O90" s="1" t="s">
        <v>27</v>
      </c>
      <c r="P90" s="1" t="s">
        <v>27</v>
      </c>
      <c r="Q90" s="1" t="s">
        <v>26</v>
      </c>
    </row>
    <row r="91" spans="1:17" ht="16.5" customHeight="1" x14ac:dyDescent="0.25">
      <c r="A91" s="1" t="s">
        <v>37</v>
      </c>
      <c r="B91" s="1" t="s">
        <v>202</v>
      </c>
      <c r="C91" s="1" t="s">
        <v>203</v>
      </c>
      <c r="D91" s="44"/>
      <c r="E91" s="1" t="s">
        <v>40</v>
      </c>
      <c r="F91" s="1" t="s">
        <v>195</v>
      </c>
      <c r="G91" s="1" t="s">
        <v>24</v>
      </c>
      <c r="H91" s="26">
        <v>50</v>
      </c>
      <c r="I91" s="27" t="str">
        <f>HYPERLINK("https://doc.morningstar.com/Document/ec654833ae86204564d1910f56ed4444.msdoc?clientid=fnz&amp;key=9c0e4d166b60ffd3","TMD")</f>
        <v>TMD</v>
      </c>
      <c r="J91" t="s">
        <v>25</v>
      </c>
      <c r="K91" s="1" t="s">
        <v>26</v>
      </c>
      <c r="L91" s="1" t="s">
        <v>27</v>
      </c>
      <c r="M91" s="1" t="s">
        <v>27</v>
      </c>
      <c r="N91" s="1" t="s">
        <v>26</v>
      </c>
      <c r="O91" s="1" t="s">
        <v>26</v>
      </c>
      <c r="P91" s="1" t="s">
        <v>27</v>
      </c>
      <c r="Q91" s="1" t="s">
        <v>27</v>
      </c>
    </row>
    <row r="92" spans="1:17" ht="16.5" customHeight="1" x14ac:dyDescent="0.25">
      <c r="A92" s="1" t="s">
        <v>31</v>
      </c>
      <c r="B92" s="1" t="s">
        <v>204</v>
      </c>
      <c r="C92" s="1" t="s">
        <v>205</v>
      </c>
      <c r="D92" s="44"/>
      <c r="E92" s="1" t="s">
        <v>40</v>
      </c>
      <c r="F92" s="1" t="s">
        <v>24</v>
      </c>
      <c r="G92" s="1" t="s">
        <v>24</v>
      </c>
      <c r="H92" s="26">
        <v>100</v>
      </c>
      <c r="I92" s="27" t="str">
        <f>HYPERLINK("https://doc.morningstar.com/Document/0c20116016c2323559ab169e1b26407c.msdoc?clientid=fnz&amp;key=9c0e4d166b60ffd3","TMD")</f>
        <v>TMD</v>
      </c>
      <c r="J92" t="s">
        <v>25</v>
      </c>
      <c r="K92" s="1" t="s">
        <v>25</v>
      </c>
      <c r="L92" s="1" t="s">
        <v>25</v>
      </c>
      <c r="M92" s="1" t="s">
        <v>25</v>
      </c>
      <c r="N92" s="1" t="s">
        <v>26</v>
      </c>
      <c r="O92" s="1" t="s">
        <v>26</v>
      </c>
      <c r="P92" s="1" t="s">
        <v>26</v>
      </c>
      <c r="Q92" s="1" t="s">
        <v>27</v>
      </c>
    </row>
    <row r="93" spans="1:17" ht="16.5" customHeight="1" x14ac:dyDescent="0.25">
      <c r="A93" s="1" t="s">
        <v>34</v>
      </c>
      <c r="B93" s="1" t="s">
        <v>206</v>
      </c>
      <c r="C93" s="1" t="s">
        <v>207</v>
      </c>
      <c r="D93" s="44"/>
      <c r="E93" s="1" t="s">
        <v>40</v>
      </c>
      <c r="F93" s="1" t="s">
        <v>24</v>
      </c>
      <c r="G93" s="1" t="s">
        <v>24</v>
      </c>
      <c r="H93" s="26">
        <v>30</v>
      </c>
      <c r="I93" s="27" t="str">
        <f>HYPERLINK("https://doc.morningstar.com/Document/9025720a4324b72e1d11370778998363.msdoc?clientid=fnz&amp;key=9c0e4d166b60ffd3","TMD")</f>
        <v>TMD</v>
      </c>
      <c r="J93" t="s">
        <v>25</v>
      </c>
      <c r="K93" s="1" t="s">
        <v>25</v>
      </c>
      <c r="L93" s="1" t="s">
        <v>25</v>
      </c>
      <c r="M93" s="1" t="s">
        <v>25</v>
      </c>
      <c r="N93" s="1" t="s">
        <v>26</v>
      </c>
      <c r="O93" s="1" t="s">
        <v>26</v>
      </c>
      <c r="P93" s="1" t="s">
        <v>26</v>
      </c>
      <c r="Q93" s="1" t="s">
        <v>27</v>
      </c>
    </row>
    <row r="94" spans="1:17" ht="16.5" customHeight="1" x14ac:dyDescent="0.25">
      <c r="A94" s="1" t="s">
        <v>28</v>
      </c>
      <c r="B94" s="1" t="s">
        <v>208</v>
      </c>
      <c r="C94" s="1" t="s">
        <v>209</v>
      </c>
      <c r="D94" s="44"/>
      <c r="E94" s="1" t="s">
        <v>61</v>
      </c>
      <c r="F94" s="1" t="s">
        <v>24</v>
      </c>
      <c r="G94" s="1" t="s">
        <v>24</v>
      </c>
      <c r="H94" s="26">
        <v>30</v>
      </c>
      <c r="I94" s="27" t="str">
        <f>HYPERLINK("https://doc.morningstar.com/Document/5f716916da39e1e054558ae5ec1b6d44.msdoc?clientid=fnz&amp;key=9c0e4d166b60ffd3","TMD")</f>
        <v>TMD</v>
      </c>
      <c r="J94" t="s">
        <v>25</v>
      </c>
      <c r="K94" s="1" t="s">
        <v>25</v>
      </c>
      <c r="L94" s="1" t="s">
        <v>25</v>
      </c>
      <c r="M94" s="1" t="s">
        <v>25</v>
      </c>
      <c r="N94" s="1" t="s">
        <v>26</v>
      </c>
      <c r="O94" s="1" t="s">
        <v>26</v>
      </c>
      <c r="P94" s="1" t="s">
        <v>27</v>
      </c>
      <c r="Q94" s="1" t="s">
        <v>27</v>
      </c>
    </row>
    <row r="95" spans="1:17" ht="16.5" customHeight="1" x14ac:dyDescent="0.25">
      <c r="A95" s="1" t="s">
        <v>28</v>
      </c>
      <c r="B95" s="1" t="s">
        <v>210</v>
      </c>
      <c r="C95" s="1" t="s">
        <v>211</v>
      </c>
      <c r="D95" s="44"/>
      <c r="E95" s="1" t="s">
        <v>61</v>
      </c>
      <c r="F95" s="1" t="s">
        <v>24</v>
      </c>
      <c r="G95" s="1" t="s">
        <v>24</v>
      </c>
      <c r="H95" s="26">
        <v>30</v>
      </c>
      <c r="I95" s="27" t="str">
        <f>HYPERLINK("https://doc.morningstar.com/Document/5dc1566a6b821496d2b1fd60095c4053.msdoc?clientid=fnz&amp;key=9c0e4d166b60ffd3","TMD")</f>
        <v>TMD</v>
      </c>
      <c r="J95" t="s">
        <v>25</v>
      </c>
      <c r="K95" s="1" t="s">
        <v>25</v>
      </c>
      <c r="L95" s="1" t="s">
        <v>25</v>
      </c>
      <c r="M95" s="1" t="s">
        <v>25</v>
      </c>
      <c r="N95" s="1" t="s">
        <v>26</v>
      </c>
      <c r="O95" s="1" t="s">
        <v>26</v>
      </c>
      <c r="P95" s="1" t="s">
        <v>27</v>
      </c>
      <c r="Q95" s="1" t="s">
        <v>27</v>
      </c>
    </row>
    <row r="96" spans="1:17" ht="16.5" customHeight="1" x14ac:dyDescent="0.25">
      <c r="A96" s="1" t="s">
        <v>58</v>
      </c>
      <c r="B96" s="1" t="s">
        <v>212</v>
      </c>
      <c r="C96" s="1" t="s">
        <v>213</v>
      </c>
      <c r="D96" s="44"/>
      <c r="E96" s="1" t="s">
        <v>61</v>
      </c>
      <c r="F96" s="1" t="s">
        <v>24</v>
      </c>
      <c r="G96" s="1" t="s">
        <v>24</v>
      </c>
      <c r="H96" s="26">
        <v>100</v>
      </c>
      <c r="I96" s="27" t="str">
        <f>HYPERLINK("https://doc.morningstar.com/Document/ce3821cd1e1d5b207352da2083dcb560.msdoc?clientid=fnz&amp;key=9c0e4d166b60ffd3","TMD")</f>
        <v>TMD</v>
      </c>
      <c r="J96" t="s">
        <v>25</v>
      </c>
      <c r="K96" s="1" t="s">
        <v>25</v>
      </c>
      <c r="L96" s="1" t="s">
        <v>25</v>
      </c>
      <c r="M96" s="1" t="s">
        <v>25</v>
      </c>
      <c r="N96" s="1" t="s">
        <v>26</v>
      </c>
      <c r="O96" s="1" t="s">
        <v>26</v>
      </c>
      <c r="P96" s="1" t="s">
        <v>27</v>
      </c>
      <c r="Q96" s="1" t="s">
        <v>27</v>
      </c>
    </row>
    <row r="97" spans="1:17" ht="16.5" customHeight="1" x14ac:dyDescent="0.25">
      <c r="A97" s="1" t="s">
        <v>58</v>
      </c>
      <c r="B97" s="1" t="s">
        <v>214</v>
      </c>
      <c r="C97" s="1" t="s">
        <v>215</v>
      </c>
      <c r="D97" s="44"/>
      <c r="E97" s="1" t="s">
        <v>61</v>
      </c>
      <c r="F97" s="1" t="s">
        <v>24</v>
      </c>
      <c r="G97" s="1" t="s">
        <v>24</v>
      </c>
      <c r="H97" s="26">
        <v>100</v>
      </c>
      <c r="I97" s="27" t="str">
        <f>HYPERLINK("https://doc.morningstar.com/Document/fdf6ac3866fe2daf1e44365ced3fc08c.msdoc?clientid=fnz&amp;key=9c0e4d166b60ffd3","TMD")</f>
        <v>TMD</v>
      </c>
      <c r="J97" t="s">
        <v>25</v>
      </c>
      <c r="K97" s="1" t="s">
        <v>26</v>
      </c>
      <c r="L97" s="1" t="s">
        <v>27</v>
      </c>
      <c r="M97" s="1" t="s">
        <v>27</v>
      </c>
      <c r="N97" s="1" t="s">
        <v>26</v>
      </c>
      <c r="O97" s="1" t="s">
        <v>26</v>
      </c>
      <c r="P97" s="1" t="s">
        <v>27</v>
      </c>
      <c r="Q97" s="1" t="s">
        <v>216</v>
      </c>
    </row>
    <row r="98" spans="1:17" ht="16.5" customHeight="1" x14ac:dyDescent="0.25">
      <c r="A98" s="1" t="s">
        <v>81</v>
      </c>
      <c r="B98" s="1" t="s">
        <v>217</v>
      </c>
      <c r="C98" s="1" t="s">
        <v>218</v>
      </c>
      <c r="D98" s="44"/>
      <c r="E98" s="1" t="s">
        <v>40</v>
      </c>
      <c r="F98" s="1" t="s">
        <v>24</v>
      </c>
      <c r="G98" s="1" t="s">
        <v>24</v>
      </c>
      <c r="H98" s="26">
        <v>50</v>
      </c>
      <c r="I98" s="27" t="str">
        <f>HYPERLINK("https://doc.morningstar.com/Document/1ce3d4379b86e6b6583a84276193cec3.msdoc?clientid=fnz&amp;key=9c0e4d166b60ffd3","TMD")</f>
        <v>TMD</v>
      </c>
      <c r="J98" t="s">
        <v>25</v>
      </c>
      <c r="K98" s="1" t="s">
        <v>25</v>
      </c>
      <c r="L98" s="1" t="s">
        <v>25</v>
      </c>
      <c r="M98" s="1" t="s">
        <v>25</v>
      </c>
      <c r="N98" s="1" t="s">
        <v>26</v>
      </c>
      <c r="O98" s="1" t="s">
        <v>26</v>
      </c>
      <c r="P98" s="1" t="s">
        <v>27</v>
      </c>
      <c r="Q98" s="1" t="s">
        <v>27</v>
      </c>
    </row>
    <row r="99" spans="1:17" ht="16.5" customHeight="1" x14ac:dyDescent="0.25">
      <c r="A99" s="1" t="s">
        <v>109</v>
      </c>
      <c r="B99" s="1" t="s">
        <v>219</v>
      </c>
      <c r="C99" s="1" t="s">
        <v>220</v>
      </c>
      <c r="D99" s="44"/>
      <c r="E99" s="1" t="s">
        <v>40</v>
      </c>
      <c r="F99" s="1" t="s">
        <v>24</v>
      </c>
      <c r="G99" s="1" t="s">
        <v>24</v>
      </c>
      <c r="H99" s="26">
        <v>100</v>
      </c>
      <c r="I99" s="27" t="str">
        <f>HYPERLINK("https://doc.morningstar.com/Document/84a026457ce84a444d4904a4bbff42ce.msdoc?clientid=fnz&amp;key=9c0e4d166b60ffd3","TMD")</f>
        <v>TMD</v>
      </c>
      <c r="J99" t="s">
        <v>25</v>
      </c>
      <c r="K99" s="1" t="s">
        <v>25</v>
      </c>
      <c r="L99" s="1" t="s">
        <v>25</v>
      </c>
      <c r="M99" s="1" t="s">
        <v>25</v>
      </c>
      <c r="N99" s="1" t="s">
        <v>26</v>
      </c>
      <c r="O99" s="1" t="s">
        <v>26</v>
      </c>
      <c r="P99" s="1" t="s">
        <v>27</v>
      </c>
      <c r="Q99" s="1" t="s">
        <v>26</v>
      </c>
    </row>
    <row r="100" spans="1:17" ht="16.5" customHeight="1" x14ac:dyDescent="0.25">
      <c r="A100" s="1" t="s">
        <v>34</v>
      </c>
      <c r="B100" s="1" t="s">
        <v>221</v>
      </c>
      <c r="C100" s="1" t="s">
        <v>222</v>
      </c>
      <c r="D100" s="44"/>
      <c r="E100" s="1" t="s">
        <v>40</v>
      </c>
      <c r="F100" s="1" t="s">
        <v>24</v>
      </c>
      <c r="G100" s="1" t="s">
        <v>24</v>
      </c>
      <c r="H100" s="26">
        <v>30</v>
      </c>
      <c r="I100" s="27" t="str">
        <f>HYPERLINK("https://doc.morningstar.com/Document/ca84d00da36ca4e017515ce5695fb241.msdoc?clientid=fnz&amp;key=9c0e4d166b60ffd3","TMD")</f>
        <v>TMD</v>
      </c>
      <c r="J100" t="s">
        <v>25</v>
      </c>
      <c r="K100" s="1" t="s">
        <v>25</v>
      </c>
      <c r="L100" s="1" t="s">
        <v>25</v>
      </c>
      <c r="M100" s="1" t="s">
        <v>25</v>
      </c>
      <c r="N100" s="1" t="s">
        <v>26</v>
      </c>
      <c r="O100" s="1" t="s">
        <v>26</v>
      </c>
      <c r="P100" s="1" t="s">
        <v>27</v>
      </c>
      <c r="Q100" s="1" t="s">
        <v>27</v>
      </c>
    </row>
    <row r="101" spans="1:17" ht="16.5" customHeight="1" x14ac:dyDescent="0.25">
      <c r="A101" s="1" t="s">
        <v>68</v>
      </c>
      <c r="B101" s="1" t="s">
        <v>223</v>
      </c>
      <c r="C101" s="1" t="s">
        <v>224</v>
      </c>
      <c r="D101" s="44"/>
      <c r="E101" s="1" t="s">
        <v>45</v>
      </c>
      <c r="F101" s="1" t="s">
        <v>24</v>
      </c>
      <c r="G101" s="1" t="s">
        <v>24</v>
      </c>
      <c r="H101" s="26">
        <v>100</v>
      </c>
      <c r="I101" s="27" t="str">
        <f>HYPERLINK("https://doc.morningstar.com/Document/34483d83377b7788772b91c444ab9997.msdoc?clientid=fnz&amp;key=9c0e4d166b60ffd3","TMD")</f>
        <v>TMD</v>
      </c>
      <c r="J101" t="s">
        <v>62</v>
      </c>
      <c r="K101" s="1" t="s">
        <v>25</v>
      </c>
      <c r="L101" s="1" t="s">
        <v>25</v>
      </c>
      <c r="M101" s="1" t="s">
        <v>25</v>
      </c>
      <c r="N101" s="1" t="s">
        <v>26</v>
      </c>
      <c r="O101" s="1" t="s">
        <v>27</v>
      </c>
      <c r="P101" s="1" t="s">
        <v>26</v>
      </c>
      <c r="Q101" s="1" t="s">
        <v>26</v>
      </c>
    </row>
    <row r="102" spans="1:17" ht="16.5" customHeight="1" x14ac:dyDescent="0.25">
      <c r="A102" s="1" t="s">
        <v>225</v>
      </c>
      <c r="B102" s="1" t="s">
        <v>226</v>
      </c>
      <c r="C102" s="1" t="s">
        <v>227</v>
      </c>
      <c r="D102" s="44"/>
      <c r="E102" s="1" t="s">
        <v>61</v>
      </c>
      <c r="F102" s="1" t="s">
        <v>24</v>
      </c>
      <c r="G102" s="1" t="s">
        <v>24</v>
      </c>
      <c r="H102" s="26">
        <v>30</v>
      </c>
      <c r="I102" s="27" t="str">
        <f>HYPERLINK("https://doc.morningstar.com/Document/b8c2d5fa0147bdedca777c9fffcfc6af.msdoc?clientid=fnz&amp;key=9c0e4d166b60ffd3","TMD")</f>
        <v>TMD</v>
      </c>
      <c r="J102" t="s">
        <v>25</v>
      </c>
      <c r="K102" s="1" t="s">
        <v>25</v>
      </c>
      <c r="L102" s="1" t="s">
        <v>25</v>
      </c>
      <c r="M102" s="1" t="s">
        <v>25</v>
      </c>
      <c r="N102" s="1" t="s">
        <v>26</v>
      </c>
      <c r="O102" s="1" t="s">
        <v>26</v>
      </c>
      <c r="P102" s="1" t="s">
        <v>27</v>
      </c>
      <c r="Q102" s="1" t="s">
        <v>27</v>
      </c>
    </row>
    <row r="103" spans="1:17" ht="16.5" customHeight="1" x14ac:dyDescent="0.25">
      <c r="A103" s="1" t="s">
        <v>84</v>
      </c>
      <c r="B103" s="1" t="s">
        <v>228</v>
      </c>
      <c r="C103" s="1" t="s">
        <v>229</v>
      </c>
      <c r="D103" s="44"/>
      <c r="E103" s="1" t="s">
        <v>40</v>
      </c>
      <c r="F103" s="1" t="s">
        <v>24</v>
      </c>
      <c r="G103" s="1" t="s">
        <v>24</v>
      </c>
      <c r="H103" s="26">
        <v>100</v>
      </c>
      <c r="I103" s="27" t="str">
        <f>HYPERLINK("https://doc.morningstar.com/Document/6ff1f5c28dc308916b0fbcc2e4e2d307.msdoc?clientid=fnz&amp;key=9c0e4d166b60ffd3","TMD")</f>
        <v>TMD</v>
      </c>
      <c r="J103" t="s">
        <v>25</v>
      </c>
      <c r="K103" s="1" t="s">
        <v>25</v>
      </c>
      <c r="L103" s="1" t="s">
        <v>25</v>
      </c>
      <c r="M103" s="1" t="s">
        <v>25</v>
      </c>
      <c r="N103" s="1" t="s">
        <v>26</v>
      </c>
      <c r="O103" s="1" t="s">
        <v>27</v>
      </c>
      <c r="P103" s="1" t="s">
        <v>26</v>
      </c>
      <c r="Q103" s="1" t="s">
        <v>26</v>
      </c>
    </row>
    <row r="104" spans="1:17" ht="16.5" customHeight="1" x14ac:dyDescent="0.25">
      <c r="A104" s="1" t="s">
        <v>184</v>
      </c>
      <c r="B104" s="1" t="s">
        <v>230</v>
      </c>
      <c r="C104" s="1" t="s">
        <v>231</v>
      </c>
      <c r="D104" s="44"/>
      <c r="E104" s="1" t="s">
        <v>23</v>
      </c>
      <c r="F104" s="1" t="s">
        <v>24</v>
      </c>
      <c r="G104" s="1" t="s">
        <v>24</v>
      </c>
      <c r="H104" s="26">
        <v>100</v>
      </c>
      <c r="I104" s="27" t="str">
        <f>HYPERLINK("https://doc.morningstar.com/Document/8c8a89002485d7fe2e7a277782145ebe.msdoc?clientid=fnz&amp;key=9c0e4d166b60ffd3","TMD")</f>
        <v>TMD</v>
      </c>
      <c r="J104" t="s">
        <v>62</v>
      </c>
      <c r="K104" s="1" t="s">
        <v>25</v>
      </c>
      <c r="L104" s="1" t="s">
        <v>25</v>
      </c>
      <c r="M104" s="1" t="s">
        <v>25</v>
      </c>
      <c r="N104" s="1" t="s">
        <v>27</v>
      </c>
      <c r="O104" s="1" t="s">
        <v>27</v>
      </c>
      <c r="P104" s="1" t="s">
        <v>26</v>
      </c>
      <c r="Q104" s="1" t="s">
        <v>26</v>
      </c>
    </row>
    <row r="105" spans="1:17" ht="16.5" customHeight="1" x14ac:dyDescent="0.25">
      <c r="A105" s="1" t="s">
        <v>141</v>
      </c>
      <c r="B105" s="1" t="s">
        <v>232</v>
      </c>
      <c r="C105" s="1" t="s">
        <v>233</v>
      </c>
      <c r="D105" s="44"/>
      <c r="E105" s="1" t="s">
        <v>61</v>
      </c>
      <c r="F105" s="1" t="s">
        <v>195</v>
      </c>
      <c r="G105" s="1" t="s">
        <v>24</v>
      </c>
      <c r="H105" s="26">
        <v>20</v>
      </c>
      <c r="I105" s="27" t="str">
        <f>HYPERLINK("https://doc.morningstar.com/Document/be73fee9195f6d808bdaacbe9d8d0cf8.msdoc?clientid=fnz&amp;key=9c0e4d166b60ffd3","TMD")</f>
        <v>TMD</v>
      </c>
      <c r="J105" t="s">
        <v>25</v>
      </c>
      <c r="K105" s="1" t="s">
        <v>25</v>
      </c>
      <c r="L105" s="1" t="s">
        <v>25</v>
      </c>
      <c r="M105" s="1" t="s">
        <v>25</v>
      </c>
      <c r="N105" s="1" t="s">
        <v>26</v>
      </c>
      <c r="O105" s="1" t="s">
        <v>26</v>
      </c>
      <c r="P105" s="1" t="s">
        <v>27</v>
      </c>
      <c r="Q105" s="1" t="s">
        <v>27</v>
      </c>
    </row>
    <row r="106" spans="1:17" ht="16.5" customHeight="1" x14ac:dyDescent="0.25">
      <c r="A106" s="1" t="s">
        <v>141</v>
      </c>
      <c r="B106" s="1" t="s">
        <v>234</v>
      </c>
      <c r="C106" s="1" t="s">
        <v>235</v>
      </c>
      <c r="D106" s="44"/>
      <c r="E106" s="1" t="s">
        <v>61</v>
      </c>
      <c r="F106" s="1" t="s">
        <v>24</v>
      </c>
      <c r="G106" s="1" t="s">
        <v>24</v>
      </c>
      <c r="H106" s="26">
        <v>20</v>
      </c>
      <c r="I106" s="27" t="str">
        <f>HYPERLINK("https://doc.morningstar.com/Document/a9e318771462cdd25743a8fb1df98274.msdoc?clientid=fnz&amp;key=9c0e4d166b60ffd3","TMD")</f>
        <v>TMD</v>
      </c>
      <c r="J106" t="s">
        <v>62</v>
      </c>
      <c r="K106" s="1" t="s">
        <v>25</v>
      </c>
      <c r="L106" s="1" t="s">
        <v>25</v>
      </c>
      <c r="M106" s="1" t="s">
        <v>25</v>
      </c>
      <c r="N106" s="1" t="s">
        <v>26</v>
      </c>
      <c r="O106" s="1" t="s">
        <v>26</v>
      </c>
      <c r="P106" s="1" t="s">
        <v>27</v>
      </c>
      <c r="Q106" s="1" t="s">
        <v>27</v>
      </c>
    </row>
    <row r="107" spans="1:17" ht="16.5" customHeight="1" x14ac:dyDescent="0.25">
      <c r="A107" s="1" t="s">
        <v>68</v>
      </c>
      <c r="B107" s="1" t="s">
        <v>236</v>
      </c>
      <c r="C107" s="1" t="s">
        <v>237</v>
      </c>
      <c r="D107" s="44"/>
      <c r="E107" s="1" t="s">
        <v>45</v>
      </c>
      <c r="F107" s="1" t="s">
        <v>24</v>
      </c>
      <c r="G107" s="1" t="s">
        <v>24</v>
      </c>
      <c r="H107" s="26">
        <v>100</v>
      </c>
      <c r="I107" s="27" t="str">
        <f>HYPERLINK("https://doc.morningstar.com/Document/36545f58f8fb4af206bd34e20000395f.msdoc?clientid=fnz&amp;key=9c0e4d166b60ffd3","TMD")</f>
        <v>TMD</v>
      </c>
      <c r="J107" t="s">
        <v>62</v>
      </c>
      <c r="K107" s="1" t="s">
        <v>25</v>
      </c>
      <c r="L107" s="1" t="s">
        <v>25</v>
      </c>
      <c r="M107" s="1" t="s">
        <v>25</v>
      </c>
      <c r="N107" s="1" t="s">
        <v>26</v>
      </c>
      <c r="O107" s="1" t="s">
        <v>26</v>
      </c>
      <c r="P107" s="1" t="s">
        <v>27</v>
      </c>
      <c r="Q107" s="1" t="s">
        <v>27</v>
      </c>
    </row>
    <row r="108" spans="1:17" ht="16.5" customHeight="1" x14ac:dyDescent="0.25">
      <c r="A108" s="1" t="s">
        <v>141</v>
      </c>
      <c r="B108" s="1" t="s">
        <v>238</v>
      </c>
      <c r="C108" s="1" t="s">
        <v>239</v>
      </c>
      <c r="D108" s="44"/>
      <c r="E108" s="1" t="s">
        <v>40</v>
      </c>
      <c r="F108" s="1" t="s">
        <v>195</v>
      </c>
      <c r="G108" s="1" t="s">
        <v>24</v>
      </c>
      <c r="H108" s="26">
        <v>20</v>
      </c>
      <c r="I108" s="27" t="str">
        <f>HYPERLINK("https://doc.morningstar.com/Document/89b15b2c681be5ee070f7275f39d8977.msdoc?clientid=fnz&amp;key=9c0e4d166b60ffd3","TMD")</f>
        <v>TMD</v>
      </c>
      <c r="J108" t="s">
        <v>62</v>
      </c>
      <c r="K108" s="1" t="s">
        <v>25</v>
      </c>
      <c r="L108" s="1" t="s">
        <v>25</v>
      </c>
      <c r="M108" s="1" t="s">
        <v>25</v>
      </c>
      <c r="N108" s="1" t="s">
        <v>26</v>
      </c>
      <c r="O108" s="1" t="s">
        <v>26</v>
      </c>
      <c r="P108" s="1" t="s">
        <v>27</v>
      </c>
      <c r="Q108" s="1" t="s">
        <v>27</v>
      </c>
    </row>
    <row r="109" spans="1:17" ht="16.5" customHeight="1" x14ac:dyDescent="0.25">
      <c r="A109" s="1" t="s">
        <v>141</v>
      </c>
      <c r="B109" s="1" t="s">
        <v>240</v>
      </c>
      <c r="C109" s="1" t="s">
        <v>241</v>
      </c>
      <c r="D109" s="44"/>
      <c r="E109" s="1" t="s">
        <v>45</v>
      </c>
      <c r="F109" s="1" t="s">
        <v>24</v>
      </c>
      <c r="G109" s="1" t="s">
        <v>24</v>
      </c>
      <c r="H109" s="26">
        <v>20</v>
      </c>
      <c r="I109" s="27" t="str">
        <f>HYPERLINK("https://doc.morningstar.com/Document/c21e6ebb5d8da922793df2bfa4491fca.msdoc?clientid=fnz&amp;key=9c0e4d166b60ffd3","TMD")</f>
        <v>TMD</v>
      </c>
      <c r="J109" t="s">
        <v>62</v>
      </c>
      <c r="K109" s="1" t="s">
        <v>25</v>
      </c>
      <c r="L109" s="1" t="s">
        <v>25</v>
      </c>
      <c r="M109" s="1" t="s">
        <v>25</v>
      </c>
      <c r="N109" s="1" t="s">
        <v>26</v>
      </c>
      <c r="O109" s="1" t="s">
        <v>26</v>
      </c>
      <c r="P109" s="1" t="s">
        <v>27</v>
      </c>
      <c r="Q109" s="1" t="s">
        <v>27</v>
      </c>
    </row>
    <row r="110" spans="1:17" ht="16.5" customHeight="1" x14ac:dyDescent="0.25">
      <c r="A110" s="1" t="s">
        <v>184</v>
      </c>
      <c r="B110" s="1" t="s">
        <v>242</v>
      </c>
      <c r="C110" s="1" t="s">
        <v>243</v>
      </c>
      <c r="D110" s="44"/>
      <c r="E110" s="1" t="s">
        <v>23</v>
      </c>
      <c r="F110" s="1" t="s">
        <v>24</v>
      </c>
      <c r="G110" s="1" t="s">
        <v>24</v>
      </c>
      <c r="H110" s="26">
        <v>100</v>
      </c>
      <c r="I110" s="27" t="str">
        <f>HYPERLINK("https://doc.morningstar.com/Document/8c8a89002485d7fe2e7a277782145ebe.msdoc?clientid=fnz&amp;key=9c0e4d166b60ffd3","TMD")</f>
        <v>TMD</v>
      </c>
      <c r="J110" t="s">
        <v>25</v>
      </c>
      <c r="K110" s="1" t="s">
        <v>25</v>
      </c>
      <c r="L110" s="1" t="s">
        <v>25</v>
      </c>
      <c r="M110" s="1" t="s">
        <v>25</v>
      </c>
      <c r="N110" s="1" t="s">
        <v>27</v>
      </c>
      <c r="O110" s="1" t="s">
        <v>27</v>
      </c>
      <c r="P110" s="1" t="s">
        <v>26</v>
      </c>
      <c r="Q110" s="1" t="s">
        <v>26</v>
      </c>
    </row>
    <row r="111" spans="1:17" ht="16.5" customHeight="1" x14ac:dyDescent="0.25">
      <c r="A111" s="1" t="s">
        <v>141</v>
      </c>
      <c r="B111" s="1" t="s">
        <v>244</v>
      </c>
      <c r="C111" s="1" t="s">
        <v>245</v>
      </c>
      <c r="D111" s="44"/>
      <c r="E111" s="1" t="s">
        <v>40</v>
      </c>
      <c r="F111" s="1" t="s">
        <v>195</v>
      </c>
      <c r="G111" s="1" t="s">
        <v>24</v>
      </c>
      <c r="H111" s="26">
        <v>20</v>
      </c>
      <c r="I111" s="27" t="str">
        <f>HYPERLINK("https://doc.morningstar.com/Document/e3d0be679b99f426df244e5815eafeed.msdoc?clientid=fnz&amp;key=9c0e4d166b60ffd3","TMD")</f>
        <v>TMD</v>
      </c>
      <c r="J111" t="s">
        <v>62</v>
      </c>
      <c r="K111" s="1" t="s">
        <v>25</v>
      </c>
      <c r="L111" s="1" t="s">
        <v>25</v>
      </c>
      <c r="M111" s="1" t="s">
        <v>25</v>
      </c>
      <c r="N111" s="1" t="s">
        <v>26</v>
      </c>
      <c r="O111" s="1" t="s">
        <v>26</v>
      </c>
      <c r="P111" s="1" t="s">
        <v>27</v>
      </c>
      <c r="Q111" s="1" t="s">
        <v>27</v>
      </c>
    </row>
    <row r="112" spans="1:17" ht="16.5" customHeight="1" x14ac:dyDescent="0.25">
      <c r="A112" s="1" t="s">
        <v>141</v>
      </c>
      <c r="B112" s="1" t="s">
        <v>246</v>
      </c>
      <c r="C112" s="1" t="s">
        <v>247</v>
      </c>
      <c r="D112" s="44"/>
      <c r="E112" s="1" t="s">
        <v>23</v>
      </c>
      <c r="F112" s="1" t="s">
        <v>24</v>
      </c>
      <c r="G112" s="1" t="s">
        <v>24</v>
      </c>
      <c r="H112" s="26">
        <v>20</v>
      </c>
      <c r="I112" s="27" t="str">
        <f>HYPERLINK("https://doc.morningstar.com/Document/09211cdce9b056b0ef54f24e6968bc21.msdoc?clientid=fnz&amp;key=9c0e4d166b60ffd3","TMD")</f>
        <v>TMD</v>
      </c>
      <c r="J112" t="s">
        <v>62</v>
      </c>
      <c r="K112" s="1" t="s">
        <v>25</v>
      </c>
      <c r="L112" s="1" t="s">
        <v>25</v>
      </c>
      <c r="M112" s="1" t="s">
        <v>25</v>
      </c>
      <c r="N112" s="1" t="s">
        <v>26</v>
      </c>
      <c r="O112" s="1" t="s">
        <v>26</v>
      </c>
      <c r="P112" s="1" t="s">
        <v>27</v>
      </c>
      <c r="Q112" s="1" t="s">
        <v>27</v>
      </c>
    </row>
    <row r="113" spans="1:17" ht="16.5" customHeight="1" x14ac:dyDescent="0.25">
      <c r="A113" s="1" t="s">
        <v>141</v>
      </c>
      <c r="B113" s="1" t="s">
        <v>248</v>
      </c>
      <c r="C113" s="1" t="s">
        <v>249</v>
      </c>
      <c r="D113" s="44"/>
      <c r="E113" s="1" t="s">
        <v>45</v>
      </c>
      <c r="F113" s="1" t="s">
        <v>24</v>
      </c>
      <c r="G113" s="1" t="s">
        <v>24</v>
      </c>
      <c r="H113" s="26">
        <v>20</v>
      </c>
      <c r="I113" s="27" t="str">
        <f>HYPERLINK("https://doc.morningstar.com/Document/585a649f05e7dbebebf737a8c8073ef5.msdoc?clientid=fnz&amp;key=9c0e4d166b60ffd3","TMD")</f>
        <v>TMD</v>
      </c>
      <c r="J113" t="s">
        <v>62</v>
      </c>
      <c r="K113" s="1" t="s">
        <v>25</v>
      </c>
      <c r="L113" s="1" t="s">
        <v>25</v>
      </c>
      <c r="M113" s="1" t="s">
        <v>25</v>
      </c>
      <c r="N113" s="1" t="s">
        <v>26</v>
      </c>
      <c r="O113" s="1" t="s">
        <v>26</v>
      </c>
      <c r="P113" s="1" t="s">
        <v>27</v>
      </c>
      <c r="Q113" s="1" t="s">
        <v>27</v>
      </c>
    </row>
    <row r="114" spans="1:17" ht="16.5" customHeight="1" x14ac:dyDescent="0.25">
      <c r="A114" s="1" t="s">
        <v>141</v>
      </c>
      <c r="B114" s="1" t="s">
        <v>250</v>
      </c>
      <c r="C114" s="1" t="s">
        <v>251</v>
      </c>
      <c r="D114" s="44"/>
      <c r="E114" s="1" t="s">
        <v>45</v>
      </c>
      <c r="F114" s="1" t="s">
        <v>24</v>
      </c>
      <c r="G114" s="1" t="s">
        <v>24</v>
      </c>
      <c r="H114" s="26">
        <v>20</v>
      </c>
      <c r="I114" s="27" t="str">
        <f>HYPERLINK("https://doc.morningstar.com/Document/dcbf91cf54f64c2efca736bf88202828.msdoc?clientid=fnz&amp;key=9c0e4d166b60ffd3","TMD")</f>
        <v>TMD</v>
      </c>
      <c r="J114" t="s">
        <v>62</v>
      </c>
      <c r="K114" s="1" t="s">
        <v>25</v>
      </c>
      <c r="L114" s="1" t="s">
        <v>25</v>
      </c>
      <c r="M114" s="1" t="s">
        <v>25</v>
      </c>
      <c r="N114" s="1" t="s">
        <v>26</v>
      </c>
      <c r="O114" s="1" t="s">
        <v>26</v>
      </c>
      <c r="P114" s="1" t="s">
        <v>27</v>
      </c>
      <c r="Q114" s="1" t="s">
        <v>27</v>
      </c>
    </row>
    <row r="115" spans="1:17" ht="16.5" customHeight="1" x14ac:dyDescent="0.25">
      <c r="A115" s="1" t="s">
        <v>52</v>
      </c>
      <c r="B115" s="1" t="s">
        <v>252</v>
      </c>
      <c r="C115" s="1" t="s">
        <v>253</v>
      </c>
      <c r="D115" s="44"/>
      <c r="E115" s="1" t="s">
        <v>40</v>
      </c>
      <c r="F115" s="1" t="s">
        <v>24</v>
      </c>
      <c r="G115" s="1" t="s">
        <v>24</v>
      </c>
      <c r="H115" s="26">
        <v>100</v>
      </c>
      <c r="I115" s="27" t="str">
        <f>HYPERLINK("https://doc.morningstar.com/Document/09211cdce9b056b0ef54f24e6968bc21.msdoc?clientid=fnz&amp;key=9c0e4d166b60ffd3","TMD")</f>
        <v>TMD</v>
      </c>
      <c r="J115" t="s">
        <v>62</v>
      </c>
      <c r="K115" s="1" t="s">
        <v>25</v>
      </c>
      <c r="L115" s="1" t="s">
        <v>25</v>
      </c>
      <c r="M115" s="1" t="s">
        <v>25</v>
      </c>
      <c r="N115" s="1" t="s">
        <v>27</v>
      </c>
      <c r="O115" s="1" t="s">
        <v>27</v>
      </c>
      <c r="P115" s="1" t="s">
        <v>26</v>
      </c>
      <c r="Q115" s="1" t="s">
        <v>26</v>
      </c>
    </row>
    <row r="116" spans="1:17" ht="16.5" customHeight="1" x14ac:dyDescent="0.25">
      <c r="A116" s="1" t="s">
        <v>225</v>
      </c>
      <c r="B116" s="1" t="s">
        <v>254</v>
      </c>
      <c r="C116" s="1" t="s">
        <v>255</v>
      </c>
      <c r="D116" s="44"/>
      <c r="E116" s="1" t="s">
        <v>61</v>
      </c>
      <c r="F116" s="1" t="s">
        <v>24</v>
      </c>
      <c r="G116" s="1" t="s">
        <v>24</v>
      </c>
      <c r="H116" s="26">
        <v>30</v>
      </c>
      <c r="I116" s="27" t="str">
        <f>HYPERLINK("https://doc.morningstar.com/Document/f4ec1acd8b5ef5c312d30812836be634.msdoc?clientid=fnz&amp;key=9c0e4d166b60ffd3","TMD")</f>
        <v>TMD</v>
      </c>
      <c r="J116" t="s">
        <v>62</v>
      </c>
      <c r="K116" s="1" t="s">
        <v>25</v>
      </c>
      <c r="L116" s="1" t="s">
        <v>25</v>
      </c>
      <c r="M116" s="1" t="s">
        <v>25</v>
      </c>
      <c r="N116" s="1" t="s">
        <v>26</v>
      </c>
      <c r="O116" s="1" t="s">
        <v>26</v>
      </c>
      <c r="P116" s="1" t="s">
        <v>27</v>
      </c>
      <c r="Q116" s="1" t="s">
        <v>27</v>
      </c>
    </row>
    <row r="117" spans="1:17" ht="16.5" customHeight="1" x14ac:dyDescent="0.25">
      <c r="A117" s="1" t="s">
        <v>28</v>
      </c>
      <c r="B117" s="1" t="s">
        <v>256</v>
      </c>
      <c r="C117" s="1" t="s">
        <v>257</v>
      </c>
      <c r="D117" s="44"/>
      <c r="E117" s="1" t="s">
        <v>23</v>
      </c>
      <c r="F117" s="1" t="s">
        <v>24</v>
      </c>
      <c r="G117" s="1" t="s">
        <v>24</v>
      </c>
      <c r="H117" s="26">
        <v>30</v>
      </c>
      <c r="I117" s="27" t="str">
        <f>HYPERLINK("https://doc.morningstar.com/Document/a523d802c311611509a5f916b46746ea.msdoc?clientid=fnz&amp;key=9c0e4d166b60ffd3","TMD")</f>
        <v>TMD</v>
      </c>
      <c r="J117" t="s">
        <v>62</v>
      </c>
      <c r="K117" s="1" t="s">
        <v>25</v>
      </c>
      <c r="L117" s="1" t="s">
        <v>25</v>
      </c>
      <c r="M117" s="1" t="s">
        <v>25</v>
      </c>
      <c r="N117" s="1" t="s">
        <v>26</v>
      </c>
      <c r="O117" s="1" t="s">
        <v>26</v>
      </c>
      <c r="P117" s="1" t="s">
        <v>27</v>
      </c>
      <c r="Q117" s="1" t="s">
        <v>27</v>
      </c>
    </row>
    <row r="118" spans="1:17" ht="16.5" customHeight="1" x14ac:dyDescent="0.25">
      <c r="A118" s="1" t="s">
        <v>58</v>
      </c>
      <c r="B118" s="1" t="s">
        <v>258</v>
      </c>
      <c r="C118" s="1" t="s">
        <v>259</v>
      </c>
      <c r="D118" s="44"/>
      <c r="E118" s="1" t="s">
        <v>40</v>
      </c>
      <c r="F118" s="1" t="s">
        <v>24</v>
      </c>
      <c r="G118" s="1" t="s">
        <v>24</v>
      </c>
      <c r="H118" s="26">
        <v>100</v>
      </c>
      <c r="I118" s="27" t="str">
        <f>HYPERLINK("https://doc.morningstar.com/Document/7df632661c586558c149ad54e79a182c.msdoc?clientid=fnz&amp;key=9c0e4d166b60ffd3","TMD")</f>
        <v>TMD</v>
      </c>
      <c r="J118" t="s">
        <v>62</v>
      </c>
      <c r="K118" s="1" t="s">
        <v>25</v>
      </c>
      <c r="L118" s="1" t="s">
        <v>25</v>
      </c>
      <c r="M118" s="1" t="s">
        <v>25</v>
      </c>
      <c r="N118" s="1" t="s">
        <v>26</v>
      </c>
      <c r="O118" s="1" t="s">
        <v>26</v>
      </c>
      <c r="P118" s="1" t="s">
        <v>27</v>
      </c>
      <c r="Q118" s="1" t="s">
        <v>27</v>
      </c>
    </row>
    <row r="119" spans="1:17" ht="16.5" customHeight="1" x14ac:dyDescent="0.25">
      <c r="A119" s="1" t="s">
        <v>58</v>
      </c>
      <c r="B119" s="1" t="s">
        <v>260</v>
      </c>
      <c r="C119" s="1" t="s">
        <v>261</v>
      </c>
      <c r="D119" s="44"/>
      <c r="E119" s="1" t="s">
        <v>61</v>
      </c>
      <c r="F119" s="1" t="s">
        <v>24</v>
      </c>
      <c r="G119" s="1" t="s">
        <v>24</v>
      </c>
      <c r="H119" s="26">
        <v>100</v>
      </c>
      <c r="I119" s="27" t="str">
        <f>HYPERLINK("https://doc.morningstar.com/Document/800ede5ca29d029954792f588bb252d3.msdoc?clientid=fnz&amp;key=9c0e4d166b60ffd3","TMD")</f>
        <v>TMD</v>
      </c>
      <c r="J119" t="s">
        <v>62</v>
      </c>
      <c r="K119" s="1" t="s">
        <v>25</v>
      </c>
      <c r="L119" s="1" t="s">
        <v>25</v>
      </c>
      <c r="M119" s="1" t="s">
        <v>25</v>
      </c>
      <c r="N119" s="1" t="s">
        <v>26</v>
      </c>
      <c r="O119" s="1" t="s">
        <v>26</v>
      </c>
      <c r="P119" s="1" t="s">
        <v>27</v>
      </c>
      <c r="Q119" s="1" t="s">
        <v>27</v>
      </c>
    </row>
    <row r="120" spans="1:17" ht="16.5" customHeight="1" x14ac:dyDescent="0.25">
      <c r="A120" s="1" t="s">
        <v>58</v>
      </c>
      <c r="B120" s="1" t="s">
        <v>262</v>
      </c>
      <c r="C120" s="1" t="s">
        <v>263</v>
      </c>
      <c r="D120" s="44"/>
      <c r="E120" s="1" t="s">
        <v>40</v>
      </c>
      <c r="F120" s="1" t="s">
        <v>24</v>
      </c>
      <c r="G120" s="1" t="s">
        <v>24</v>
      </c>
      <c r="H120" s="26">
        <v>100</v>
      </c>
      <c r="I120" s="27" t="str">
        <f>HYPERLINK("https://doc.morningstar.com/Document/73d7a25a8b158e227746bffb0c340aa7.msdoc?clientid=fnz&amp;key=9c0e4d166b60ffd3","TMD")</f>
        <v>TMD</v>
      </c>
      <c r="J120" t="s">
        <v>62</v>
      </c>
      <c r="K120" s="1" t="s">
        <v>25</v>
      </c>
      <c r="L120" s="1" t="s">
        <v>25</v>
      </c>
      <c r="M120" s="1" t="s">
        <v>25</v>
      </c>
      <c r="N120" s="1" t="s">
        <v>26</v>
      </c>
      <c r="O120" s="1" t="s">
        <v>26</v>
      </c>
      <c r="P120" s="1" t="s">
        <v>27</v>
      </c>
      <c r="Q120" s="1" t="s">
        <v>27</v>
      </c>
    </row>
    <row r="121" spans="1:17" ht="16.5" customHeight="1" x14ac:dyDescent="0.25">
      <c r="A121" s="1" t="s">
        <v>34</v>
      </c>
      <c r="B121" s="1" t="s">
        <v>264</v>
      </c>
      <c r="C121" s="1" t="s">
        <v>265</v>
      </c>
      <c r="D121" s="44"/>
      <c r="E121" s="1" t="s">
        <v>40</v>
      </c>
      <c r="F121" s="1" t="s">
        <v>24</v>
      </c>
      <c r="G121" s="1" t="s">
        <v>24</v>
      </c>
      <c r="H121" s="26">
        <v>30</v>
      </c>
      <c r="I121" s="27" t="str">
        <f>HYPERLINK("https://doc.morningstar.com/Document/3590840b7a4704a4af277b6272966649.msdoc?clientid=fnz&amp;key=9c0e4d166b60ffd3","TMD")</f>
        <v>TMD</v>
      </c>
      <c r="J121" t="s">
        <v>25</v>
      </c>
      <c r="K121" s="1" t="s">
        <v>25</v>
      </c>
      <c r="L121" s="1" t="s">
        <v>25</v>
      </c>
      <c r="M121" s="1" t="s">
        <v>25</v>
      </c>
      <c r="N121" s="1" t="s">
        <v>26</v>
      </c>
      <c r="O121" s="1" t="s">
        <v>26</v>
      </c>
      <c r="P121" s="1" t="s">
        <v>26</v>
      </c>
      <c r="Q121" s="1" t="s">
        <v>27</v>
      </c>
    </row>
    <row r="122" spans="1:17" ht="16.5" customHeight="1" x14ac:dyDescent="0.25">
      <c r="A122" s="1" t="s">
        <v>68</v>
      </c>
      <c r="B122" s="1" t="s">
        <v>266</v>
      </c>
      <c r="C122" s="1" t="s">
        <v>267</v>
      </c>
      <c r="D122" s="44"/>
      <c r="E122" s="1" t="s">
        <v>45</v>
      </c>
      <c r="F122" s="1" t="s">
        <v>24</v>
      </c>
      <c r="G122" s="1" t="s">
        <v>24</v>
      </c>
      <c r="H122" s="26">
        <v>100</v>
      </c>
      <c r="I122" s="27" t="str">
        <f>HYPERLINK("https://doc.morningstar.com/Document/aec2fa214f263cb27691a4f9d1da6a6e.msdoc?clientid=fnz&amp;key=9c0e4d166b60ffd3","TMD")</f>
        <v>TMD</v>
      </c>
      <c r="J122" t="s">
        <v>25</v>
      </c>
      <c r="K122" s="1" t="s">
        <v>216</v>
      </c>
      <c r="L122" s="1" t="s">
        <v>27</v>
      </c>
      <c r="M122" s="1" t="s">
        <v>27</v>
      </c>
      <c r="N122" s="1" t="s">
        <v>216</v>
      </c>
      <c r="O122" s="1" t="s">
        <v>27</v>
      </c>
      <c r="P122" s="1" t="s">
        <v>27</v>
      </c>
      <c r="Q122" s="1" t="s">
        <v>27</v>
      </c>
    </row>
    <row r="123" spans="1:17" ht="16.5" customHeight="1" x14ac:dyDescent="0.25">
      <c r="A123" s="1" t="s">
        <v>31</v>
      </c>
      <c r="B123" s="1" t="s">
        <v>268</v>
      </c>
      <c r="C123" s="1" t="s">
        <v>269</v>
      </c>
      <c r="D123" s="44"/>
      <c r="E123" s="1" t="s">
        <v>23</v>
      </c>
      <c r="F123" s="1" t="s">
        <v>24</v>
      </c>
      <c r="G123" s="1" t="s">
        <v>24</v>
      </c>
      <c r="H123" s="26">
        <v>100</v>
      </c>
      <c r="I123" s="27" t="str">
        <f>HYPERLINK("https://doc.morningstar.com/Document/ad25e4a9275fc72a7fc646e0bbee4466.msdoc?clientid=fnz&amp;key=9c0e4d166b60ffd3","TMD")</f>
        <v>TMD</v>
      </c>
      <c r="J123" t="s">
        <v>25</v>
      </c>
      <c r="K123" s="1" t="s">
        <v>26</v>
      </c>
      <c r="L123" s="1" t="s">
        <v>27</v>
      </c>
      <c r="M123" s="1" t="s">
        <v>27</v>
      </c>
      <c r="N123" s="1" t="s">
        <v>26</v>
      </c>
      <c r="O123" s="1" t="s">
        <v>216</v>
      </c>
      <c r="P123" s="1" t="s">
        <v>27</v>
      </c>
      <c r="Q123" s="1" t="s">
        <v>27</v>
      </c>
    </row>
    <row r="124" spans="1:17" ht="16.5" customHeight="1" x14ac:dyDescent="0.25">
      <c r="A124" s="1" t="s">
        <v>81</v>
      </c>
      <c r="B124" s="1" t="s">
        <v>270</v>
      </c>
      <c r="C124" s="1" t="s">
        <v>271</v>
      </c>
      <c r="D124" s="44"/>
      <c r="E124" s="1" t="s">
        <v>45</v>
      </c>
      <c r="F124" s="1" t="s">
        <v>24</v>
      </c>
      <c r="G124" s="1" t="s">
        <v>24</v>
      </c>
      <c r="H124" s="26">
        <v>50</v>
      </c>
      <c r="I124" s="27" t="str">
        <f>HYPERLINK("https://doc.morningstar.com/Document/846b66271d3036088b01d62003fb40f9.msdoc?clientid=fnz&amp;key=9c0e4d166b60ffd3","TMD")</f>
        <v>TMD</v>
      </c>
      <c r="J124" t="s">
        <v>62</v>
      </c>
      <c r="K124" s="1" t="s">
        <v>25</v>
      </c>
      <c r="L124" s="1" t="s">
        <v>25</v>
      </c>
      <c r="M124" s="1" t="s">
        <v>25</v>
      </c>
      <c r="N124" s="1" t="s">
        <v>26</v>
      </c>
      <c r="O124" s="1" t="s">
        <v>27</v>
      </c>
      <c r="P124" s="1" t="s">
        <v>27</v>
      </c>
      <c r="Q124" s="1" t="s">
        <v>27</v>
      </c>
    </row>
    <row r="125" spans="1:17" ht="16.5" customHeight="1" x14ac:dyDescent="0.25">
      <c r="A125" s="1" t="s">
        <v>81</v>
      </c>
      <c r="B125" s="1" t="s">
        <v>272</v>
      </c>
      <c r="C125" s="1" t="s">
        <v>273</v>
      </c>
      <c r="D125" s="44"/>
      <c r="E125" s="1" t="s">
        <v>40</v>
      </c>
      <c r="F125" s="1" t="s">
        <v>24</v>
      </c>
      <c r="G125" s="1" t="s">
        <v>24</v>
      </c>
      <c r="H125" s="26">
        <v>50</v>
      </c>
      <c r="I125" s="27" t="str">
        <f>HYPERLINK("https://doc.morningstar.com/Document/e7a1ca785bff8e64eda0004cb8ec03e3.msdoc?clientid=fnz&amp;key=9c0e4d166b60ffd3","TMD")</f>
        <v>TMD</v>
      </c>
      <c r="J125" t="s">
        <v>62</v>
      </c>
      <c r="K125" s="1" t="s">
        <v>26</v>
      </c>
      <c r="L125" s="1" t="s">
        <v>27</v>
      </c>
      <c r="M125" s="1" t="s">
        <v>27</v>
      </c>
      <c r="N125" s="1" t="s">
        <v>26</v>
      </c>
      <c r="O125" s="1" t="s">
        <v>26</v>
      </c>
      <c r="P125" s="1" t="s">
        <v>27</v>
      </c>
      <c r="Q125" s="1" t="s">
        <v>26</v>
      </c>
    </row>
    <row r="126" spans="1:17" ht="16.5" customHeight="1" x14ac:dyDescent="0.25">
      <c r="A126" s="1" t="s">
        <v>274</v>
      </c>
      <c r="B126" s="1" t="s">
        <v>275</v>
      </c>
      <c r="C126" s="1" t="s">
        <v>276</v>
      </c>
      <c r="D126" s="44"/>
      <c r="E126" s="1" t="s">
        <v>23</v>
      </c>
      <c r="F126" s="1" t="s">
        <v>24</v>
      </c>
      <c r="G126" s="1" t="s">
        <v>24</v>
      </c>
      <c r="H126" s="26">
        <v>100</v>
      </c>
      <c r="I126" s="27" t="str">
        <f>HYPERLINK("https://doc.morningstar.com/Document/2e2430e2f324bdab3661aebba40e99e9.msdoc?clientid=fnz&amp;key=9c0e4d166b60ffd3","TMD")</f>
        <v>TMD</v>
      </c>
      <c r="J126" t="s">
        <v>62</v>
      </c>
      <c r="K126" s="1" t="s">
        <v>25</v>
      </c>
      <c r="L126" s="1" t="s">
        <v>25</v>
      </c>
      <c r="M126" s="1" t="s">
        <v>25</v>
      </c>
      <c r="N126" s="1" t="s">
        <v>26</v>
      </c>
      <c r="O126" s="1" t="s">
        <v>27</v>
      </c>
      <c r="P126" s="1" t="s">
        <v>26</v>
      </c>
      <c r="Q126" s="1" t="s">
        <v>26</v>
      </c>
    </row>
    <row r="127" spans="1:17" ht="16.5" customHeight="1" x14ac:dyDescent="0.25">
      <c r="A127" s="1" t="s">
        <v>274</v>
      </c>
      <c r="B127" s="1" t="s">
        <v>277</v>
      </c>
      <c r="C127" s="1" t="s">
        <v>278</v>
      </c>
      <c r="D127" s="44"/>
      <c r="E127" s="1" t="s">
        <v>23</v>
      </c>
      <c r="F127" s="1" t="s">
        <v>24</v>
      </c>
      <c r="G127" s="1" t="s">
        <v>24</v>
      </c>
      <c r="H127" s="26">
        <v>100</v>
      </c>
      <c r="I127" s="27" t="str">
        <f>HYPERLINK("https://doc.morningstar.com/Document/2e2430e2f324bdab47ed968ebb98c8b9.msdoc?clientid=fnz&amp;key=9c0e4d166b60ffd3","TMD")</f>
        <v>TMD</v>
      </c>
      <c r="J127" t="s">
        <v>62</v>
      </c>
      <c r="K127" s="1" t="s">
        <v>25</v>
      </c>
      <c r="L127" s="1" t="s">
        <v>25</v>
      </c>
      <c r="M127" s="1" t="s">
        <v>25</v>
      </c>
      <c r="N127" s="1" t="s">
        <v>26</v>
      </c>
      <c r="O127" s="1" t="s">
        <v>27</v>
      </c>
      <c r="P127" s="1" t="s">
        <v>27</v>
      </c>
      <c r="Q127" s="1" t="s">
        <v>26</v>
      </c>
    </row>
    <row r="128" spans="1:17" ht="16.5" customHeight="1" x14ac:dyDescent="0.25">
      <c r="A128" s="1" t="s">
        <v>274</v>
      </c>
      <c r="B128" s="1" t="s">
        <v>279</v>
      </c>
      <c r="C128" s="1" t="s">
        <v>280</v>
      </c>
      <c r="D128" s="44"/>
      <c r="E128" s="1" t="s">
        <v>23</v>
      </c>
      <c r="F128" s="1" t="s">
        <v>24</v>
      </c>
      <c r="G128" s="1" t="s">
        <v>24</v>
      </c>
      <c r="H128" s="26">
        <v>100</v>
      </c>
      <c r="I128" s="27" t="str">
        <f>HYPERLINK("https://doc.morningstar.com/Document/7345bbb9a09bcd672400b2959afc8ee8.msdoc?clientid=fnz&amp;key=9c0e4d166b60ffd3","TMD")</f>
        <v>TMD</v>
      </c>
      <c r="J128" t="s">
        <v>62</v>
      </c>
      <c r="K128" s="1" t="s">
        <v>25</v>
      </c>
      <c r="L128" s="1" t="s">
        <v>25</v>
      </c>
      <c r="M128" s="1" t="s">
        <v>25</v>
      </c>
      <c r="N128" s="1" t="s">
        <v>26</v>
      </c>
      <c r="O128" s="1" t="s">
        <v>27</v>
      </c>
      <c r="P128" s="1" t="s">
        <v>27</v>
      </c>
      <c r="Q128" s="1" t="s">
        <v>26</v>
      </c>
    </row>
    <row r="129" spans="1:17" ht="16.5" customHeight="1" x14ac:dyDescent="0.25">
      <c r="A129" s="1" t="s">
        <v>281</v>
      </c>
      <c r="B129" s="1" t="s">
        <v>282</v>
      </c>
      <c r="C129" s="1" t="s">
        <v>283</v>
      </c>
      <c r="D129" s="44"/>
      <c r="E129" s="1" t="s">
        <v>40</v>
      </c>
      <c r="F129" s="1" t="s">
        <v>24</v>
      </c>
      <c r="G129" s="1" t="s">
        <v>24</v>
      </c>
      <c r="H129" s="26">
        <v>100</v>
      </c>
      <c r="I129" s="27" t="str">
        <f>HYPERLINK("https://doc.morningstar.com/Document/867352cb17be1e62a870a1269b45972b.msdoc?clientid=fnz&amp;key=9c0e4d166b60ffd3","TMD")</f>
        <v>TMD</v>
      </c>
      <c r="J129" t="s">
        <v>25</v>
      </c>
      <c r="K129" s="1" t="s">
        <v>25</v>
      </c>
      <c r="L129" s="1" t="s">
        <v>25</v>
      </c>
      <c r="M129" s="1" t="s">
        <v>25</v>
      </c>
      <c r="N129" s="1" t="s">
        <v>27</v>
      </c>
      <c r="O129" s="1" t="s">
        <v>27</v>
      </c>
      <c r="P129" s="1" t="s">
        <v>26</v>
      </c>
      <c r="Q129" s="1" t="s">
        <v>26</v>
      </c>
    </row>
    <row r="130" spans="1:17" ht="16.5" customHeight="1" x14ac:dyDescent="0.25">
      <c r="A130" s="1" t="s">
        <v>58</v>
      </c>
      <c r="B130" s="1" t="s">
        <v>284</v>
      </c>
      <c r="C130" s="1" t="s">
        <v>285</v>
      </c>
      <c r="D130" s="44"/>
      <c r="E130" s="1" t="s">
        <v>61</v>
      </c>
      <c r="F130" s="1" t="s">
        <v>24</v>
      </c>
      <c r="G130" s="1" t="s">
        <v>24</v>
      </c>
      <c r="H130" s="26">
        <v>100</v>
      </c>
      <c r="I130" s="27" t="str">
        <f>HYPERLINK("https://doc.morningstar.com/Document/072fc143c2ab198eb00e771c4c2a7d3a.msdoc?clientid=fnz&amp;key=9c0e4d166b60ffd3","TMD")</f>
        <v>TMD</v>
      </c>
      <c r="J130" t="s">
        <v>25</v>
      </c>
      <c r="K130" s="1" t="s">
        <v>26</v>
      </c>
      <c r="L130" s="1" t="s">
        <v>27</v>
      </c>
      <c r="M130" s="1" t="s">
        <v>27</v>
      </c>
      <c r="N130" s="1" t="s">
        <v>26</v>
      </c>
      <c r="O130" s="1" t="s">
        <v>26</v>
      </c>
      <c r="P130" s="1" t="s">
        <v>26</v>
      </c>
      <c r="Q130" s="1" t="s">
        <v>27</v>
      </c>
    </row>
    <row r="131" spans="1:17" ht="16.5" customHeight="1" x14ac:dyDescent="0.25">
      <c r="A131" s="1" t="s">
        <v>281</v>
      </c>
      <c r="B131" s="1" t="s">
        <v>286</v>
      </c>
      <c r="C131" s="1" t="s">
        <v>287</v>
      </c>
      <c r="D131" s="44"/>
      <c r="E131" s="1" t="s">
        <v>45</v>
      </c>
      <c r="F131" s="1" t="s">
        <v>24</v>
      </c>
      <c r="G131" s="1" t="s">
        <v>24</v>
      </c>
      <c r="H131" s="26">
        <v>100</v>
      </c>
      <c r="I131" s="27" t="str">
        <f>HYPERLINK("https://doc.morningstar.com/Document/de3d68234e10265c60bb117fa257eecc.msdoc?clientid=fnz&amp;key=9c0e4d166b60ffd3","TMD")</f>
        <v>TMD</v>
      </c>
      <c r="J131" t="s">
        <v>25</v>
      </c>
      <c r="K131" s="1" t="s">
        <v>25</v>
      </c>
      <c r="L131" s="1" t="s">
        <v>25</v>
      </c>
      <c r="M131" s="1" t="s">
        <v>25</v>
      </c>
      <c r="N131" s="1" t="s">
        <v>26</v>
      </c>
      <c r="O131" s="1" t="s">
        <v>27</v>
      </c>
      <c r="P131" s="1" t="s">
        <v>27</v>
      </c>
      <c r="Q131" s="1" t="s">
        <v>27</v>
      </c>
    </row>
    <row r="132" spans="1:17" ht="16.5" customHeight="1" x14ac:dyDescent="0.25">
      <c r="A132" s="1" t="s">
        <v>281</v>
      </c>
      <c r="B132" s="1" t="s">
        <v>288</v>
      </c>
      <c r="C132" s="1" t="s">
        <v>289</v>
      </c>
      <c r="D132" s="44"/>
      <c r="E132" s="1" t="s">
        <v>45</v>
      </c>
      <c r="F132" s="1" t="s">
        <v>24</v>
      </c>
      <c r="G132" s="1" t="s">
        <v>24</v>
      </c>
      <c r="H132" s="26">
        <v>100</v>
      </c>
      <c r="I132" s="27" t="str">
        <f>HYPERLINK("https://doc.morningstar.com/Document/28ae1679087a7637f810e440ba2f991f.msdoc?clientid=fnz&amp;key=9c0e4d166b60ffd3","TMD")</f>
        <v>TMD</v>
      </c>
      <c r="J132" t="s">
        <v>25</v>
      </c>
      <c r="K132" s="1" t="s">
        <v>25</v>
      </c>
      <c r="L132" s="1" t="s">
        <v>25</v>
      </c>
      <c r="M132" s="1" t="s">
        <v>25</v>
      </c>
      <c r="N132" s="1" t="s">
        <v>26</v>
      </c>
      <c r="O132" s="1" t="s">
        <v>27</v>
      </c>
      <c r="P132" s="1" t="s">
        <v>27</v>
      </c>
      <c r="Q132" s="1" t="s">
        <v>27</v>
      </c>
    </row>
    <row r="133" spans="1:17" ht="16.5" customHeight="1" x14ac:dyDescent="0.25">
      <c r="A133" s="1" t="s">
        <v>34</v>
      </c>
      <c r="B133" s="1" t="s">
        <v>290</v>
      </c>
      <c r="C133" s="1" t="s">
        <v>291</v>
      </c>
      <c r="D133" s="44"/>
      <c r="E133" s="1" t="s">
        <v>23</v>
      </c>
      <c r="F133" s="1" t="s">
        <v>24</v>
      </c>
      <c r="G133" s="1" t="s">
        <v>24</v>
      </c>
      <c r="H133" s="26">
        <v>30</v>
      </c>
      <c r="I133" s="27" t="str">
        <f>HYPERLINK("https://doc.morningstar.com/Document/9e70443c62e524f80896b77e7f4fd9df.msdoc?clientid=fnz&amp;key=9c0e4d166b60ffd3","TMD")</f>
        <v>TMD</v>
      </c>
      <c r="J133" t="s">
        <v>25</v>
      </c>
      <c r="K133" s="1" t="s">
        <v>26</v>
      </c>
      <c r="L133" s="1" t="s">
        <v>27</v>
      </c>
      <c r="M133" s="1" t="s">
        <v>27</v>
      </c>
      <c r="N133" s="1" t="s">
        <v>26</v>
      </c>
      <c r="O133" s="1" t="s">
        <v>26</v>
      </c>
      <c r="P133" s="1" t="s">
        <v>26</v>
      </c>
      <c r="Q133" s="1" t="s">
        <v>27</v>
      </c>
    </row>
    <row r="134" spans="1:17" ht="16.5" customHeight="1" x14ac:dyDescent="0.25">
      <c r="A134" s="1" t="s">
        <v>58</v>
      </c>
      <c r="B134" s="1" t="s">
        <v>292</v>
      </c>
      <c r="C134" s="1" t="s">
        <v>293</v>
      </c>
      <c r="D134" s="44"/>
      <c r="E134" s="1" t="s">
        <v>23</v>
      </c>
      <c r="F134" s="1" t="s">
        <v>24</v>
      </c>
      <c r="G134" s="1" t="s">
        <v>24</v>
      </c>
      <c r="H134" s="26">
        <v>100</v>
      </c>
      <c r="I134" s="27" t="str">
        <f>HYPERLINK("https://doc.morningstar.com/Document/a859b836ffbb0074858be5f222d12c2f.msdoc?clientid=fnz&amp;key=9c0e4d166b60ffd3","TMD")</f>
        <v>TMD</v>
      </c>
      <c r="J134" t="s">
        <v>25</v>
      </c>
      <c r="K134" s="1" t="s">
        <v>25</v>
      </c>
      <c r="L134" s="1" t="s">
        <v>25</v>
      </c>
      <c r="M134" s="1" t="s">
        <v>25</v>
      </c>
      <c r="N134" s="1" t="s">
        <v>26</v>
      </c>
      <c r="O134" s="1" t="s">
        <v>26</v>
      </c>
      <c r="P134" s="1" t="s">
        <v>27</v>
      </c>
      <c r="Q134" s="1" t="s">
        <v>27</v>
      </c>
    </row>
    <row r="135" spans="1:17" ht="16.5" customHeight="1" x14ac:dyDescent="0.25">
      <c r="A135" s="1" t="s">
        <v>141</v>
      </c>
      <c r="B135" s="1" t="s">
        <v>294</v>
      </c>
      <c r="C135" s="1" t="s">
        <v>295</v>
      </c>
      <c r="D135" s="44"/>
      <c r="E135" s="1" t="s">
        <v>61</v>
      </c>
      <c r="F135" s="1" t="s">
        <v>24</v>
      </c>
      <c r="G135" s="1" t="s">
        <v>24</v>
      </c>
      <c r="H135" s="26">
        <v>20</v>
      </c>
      <c r="I135" s="27" t="str">
        <f>HYPERLINK("https://doc.morningstar.com/Document/742f4f33948925b21cb29a3c8acc7ced.msdoc?clientid=fnz&amp;key=9c0e4d166b60ffd3","TMD")</f>
        <v>TMD</v>
      </c>
      <c r="J135" t="s">
        <v>62</v>
      </c>
      <c r="K135" s="1" t="s">
        <v>25</v>
      </c>
      <c r="L135" s="1" t="s">
        <v>25</v>
      </c>
      <c r="M135" s="1" t="s">
        <v>25</v>
      </c>
      <c r="N135" s="1" t="s">
        <v>26</v>
      </c>
      <c r="O135" s="1" t="s">
        <v>26</v>
      </c>
      <c r="P135" s="1" t="s">
        <v>27</v>
      </c>
      <c r="Q135" s="1" t="s">
        <v>27</v>
      </c>
    </row>
    <row r="136" spans="1:17" ht="16.5" customHeight="1" x14ac:dyDescent="0.25">
      <c r="A136" s="1" t="s">
        <v>52</v>
      </c>
      <c r="B136" s="1" t="s">
        <v>296</v>
      </c>
      <c r="C136" s="1" t="s">
        <v>297</v>
      </c>
      <c r="D136" s="44"/>
      <c r="E136" s="1" t="s">
        <v>40</v>
      </c>
      <c r="F136" s="1" t="s">
        <v>24</v>
      </c>
      <c r="G136" s="1" t="s">
        <v>24</v>
      </c>
      <c r="H136" s="26">
        <v>100</v>
      </c>
      <c r="I136" s="27" t="str">
        <f>HYPERLINK("https://doc.morningstar.com/Document/da7f17856651addd5d5b6252632dabb4.msdoc?clientid=fnz&amp;key=9c0e4d166b60ffd3","TMD")</f>
        <v>TMD</v>
      </c>
      <c r="J136" t="s">
        <v>25</v>
      </c>
      <c r="K136" s="1" t="s">
        <v>25</v>
      </c>
      <c r="L136" s="1" t="s">
        <v>25</v>
      </c>
      <c r="M136" s="1" t="s">
        <v>25</v>
      </c>
      <c r="N136" s="1" t="s">
        <v>27</v>
      </c>
      <c r="O136" s="1" t="s">
        <v>27</v>
      </c>
      <c r="P136" s="1" t="s">
        <v>26</v>
      </c>
      <c r="Q136" s="1" t="s">
        <v>26</v>
      </c>
    </row>
    <row r="137" spans="1:17" ht="16.5" customHeight="1" x14ac:dyDescent="0.25">
      <c r="A137" s="1" t="s">
        <v>31</v>
      </c>
      <c r="B137" s="1" t="s">
        <v>298</v>
      </c>
      <c r="C137" s="1" t="s">
        <v>299</v>
      </c>
      <c r="D137" s="44"/>
      <c r="E137" s="1" t="s">
        <v>40</v>
      </c>
      <c r="F137" s="1" t="s">
        <v>24</v>
      </c>
      <c r="G137" s="1" t="s">
        <v>24</v>
      </c>
      <c r="H137" s="26">
        <v>100</v>
      </c>
      <c r="I137" s="27" t="str">
        <f>HYPERLINK("https://doc.morningstar.com/Document/eeaabfbe9a86dbfcbd05a107a24e7d71.msdoc?clientid=fnz&amp;key=9c0e4d166b60ffd3","TMD")</f>
        <v>TMD</v>
      </c>
      <c r="J137" t="s">
        <v>25</v>
      </c>
      <c r="K137" s="1" t="s">
        <v>25</v>
      </c>
      <c r="L137" s="1" t="s">
        <v>25</v>
      </c>
      <c r="M137" s="1" t="s">
        <v>25</v>
      </c>
      <c r="N137" s="1" t="s">
        <v>26</v>
      </c>
      <c r="O137" s="1" t="s">
        <v>26</v>
      </c>
      <c r="P137" s="1" t="s">
        <v>27</v>
      </c>
      <c r="Q137" s="1" t="s">
        <v>27</v>
      </c>
    </row>
    <row r="138" spans="1:17" ht="16.5" customHeight="1" x14ac:dyDescent="0.25">
      <c r="A138" s="1" t="s">
        <v>58</v>
      </c>
      <c r="B138" s="1" t="s">
        <v>300</v>
      </c>
      <c r="C138" s="1" t="s">
        <v>301</v>
      </c>
      <c r="D138" s="44"/>
      <c r="E138" s="1" t="s">
        <v>23</v>
      </c>
      <c r="F138" s="1" t="s">
        <v>24</v>
      </c>
      <c r="G138" s="1" t="s">
        <v>24</v>
      </c>
      <c r="H138" s="26">
        <v>100</v>
      </c>
      <c r="I138" s="27" t="str">
        <f>HYPERLINK("https://doc.morningstar.com/Document/ed02749301417b34b707f2fa32b81c65.msdoc?clientid=fnz&amp;key=9c0e4d166b60ffd3","TMD")</f>
        <v>TMD</v>
      </c>
      <c r="J138" t="s">
        <v>25</v>
      </c>
      <c r="K138" s="1" t="s">
        <v>25</v>
      </c>
      <c r="L138" s="1" t="s">
        <v>25</v>
      </c>
      <c r="M138" s="1" t="s">
        <v>25</v>
      </c>
      <c r="N138" s="1" t="s">
        <v>26</v>
      </c>
      <c r="O138" s="1" t="s">
        <v>26</v>
      </c>
      <c r="P138" s="1" t="s">
        <v>27</v>
      </c>
      <c r="Q138" s="1" t="s">
        <v>27</v>
      </c>
    </row>
    <row r="139" spans="1:17" ht="16.5" customHeight="1" x14ac:dyDescent="0.25">
      <c r="A139" s="1" t="s">
        <v>37</v>
      </c>
      <c r="B139" s="1" t="s">
        <v>302</v>
      </c>
      <c r="C139" s="1" t="s">
        <v>303</v>
      </c>
      <c r="D139" s="44"/>
      <c r="E139" s="1" t="s">
        <v>40</v>
      </c>
      <c r="F139" s="1" t="s">
        <v>24</v>
      </c>
      <c r="G139" s="1" t="s">
        <v>24</v>
      </c>
      <c r="H139" s="26">
        <v>50</v>
      </c>
      <c r="I139" s="27" t="str">
        <f>HYPERLINK("https://doc.morningstar.com/Document/4e4f803ec48515e76089304cbcce8653.msdoc?clientid=fnz&amp;key=9c0e4d166b60ffd3","TMD")</f>
        <v>TMD</v>
      </c>
      <c r="J139" t="s">
        <v>25</v>
      </c>
      <c r="K139" s="1" t="s">
        <v>25</v>
      </c>
      <c r="L139" s="1" t="s">
        <v>25</v>
      </c>
      <c r="M139" s="1" t="s">
        <v>25</v>
      </c>
      <c r="N139" s="1" t="s">
        <v>26</v>
      </c>
      <c r="O139" s="1" t="s">
        <v>26</v>
      </c>
      <c r="P139" s="1" t="s">
        <v>27</v>
      </c>
      <c r="Q139" s="1" t="s">
        <v>27</v>
      </c>
    </row>
    <row r="140" spans="1:17" ht="16.5" customHeight="1" x14ac:dyDescent="0.25">
      <c r="A140" s="1" t="s">
        <v>58</v>
      </c>
      <c r="B140" s="1" t="s">
        <v>304</v>
      </c>
      <c r="C140" s="1" t="s">
        <v>305</v>
      </c>
      <c r="D140" s="44"/>
      <c r="E140" s="1" t="s">
        <v>23</v>
      </c>
      <c r="F140" s="1" t="s">
        <v>24</v>
      </c>
      <c r="G140" s="1" t="s">
        <v>24</v>
      </c>
      <c r="H140" s="26">
        <v>100</v>
      </c>
      <c r="I140" s="27" t="str">
        <f>HYPERLINK("https://doc.morningstar.com/Document/ed02749301417b34becb7c2c55a58018.msdoc?clientid=fnz&amp;key=9c0e4d166b60ffd3","TMD")</f>
        <v>TMD</v>
      </c>
      <c r="J140" t="s">
        <v>25</v>
      </c>
      <c r="K140" s="1" t="s">
        <v>25</v>
      </c>
      <c r="L140" s="1" t="s">
        <v>25</v>
      </c>
      <c r="M140" s="1" t="s">
        <v>25</v>
      </c>
      <c r="N140" s="1" t="s">
        <v>26</v>
      </c>
      <c r="O140" s="1" t="s">
        <v>26</v>
      </c>
      <c r="P140" s="1" t="s">
        <v>27</v>
      </c>
      <c r="Q140" s="1" t="s">
        <v>27</v>
      </c>
    </row>
    <row r="141" spans="1:17" ht="16.5" customHeight="1" x14ac:dyDescent="0.25">
      <c r="A141" s="1" t="s">
        <v>52</v>
      </c>
      <c r="B141" s="1" t="s">
        <v>306</v>
      </c>
      <c r="C141" s="1" t="s">
        <v>307</v>
      </c>
      <c r="D141" s="44"/>
      <c r="E141" s="1" t="s">
        <v>40</v>
      </c>
      <c r="F141" s="1" t="s">
        <v>24</v>
      </c>
      <c r="G141" s="1" t="s">
        <v>24</v>
      </c>
      <c r="H141" s="26">
        <v>100</v>
      </c>
      <c r="I141" s="27" t="str">
        <f>HYPERLINK("https://doc.morningstar.com/Document/25ce7806f32044f648814db11a9b6370.msdoc?clientid=fnz&amp;key=9c0e4d166b60ffd3","TMD")</f>
        <v>TMD</v>
      </c>
      <c r="J141" t="s">
        <v>25</v>
      </c>
      <c r="K141" s="1" t="s">
        <v>25</v>
      </c>
      <c r="L141" s="1" t="s">
        <v>25</v>
      </c>
      <c r="M141" s="1" t="s">
        <v>25</v>
      </c>
      <c r="N141" s="1" t="s">
        <v>26</v>
      </c>
      <c r="O141" s="1" t="s">
        <v>27</v>
      </c>
      <c r="P141" s="1" t="s">
        <v>27</v>
      </c>
      <c r="Q141" s="1" t="s">
        <v>26</v>
      </c>
    </row>
    <row r="142" spans="1:17" ht="16.5" customHeight="1" x14ac:dyDescent="0.25">
      <c r="A142" s="1" t="s">
        <v>109</v>
      </c>
      <c r="B142" s="1" t="s">
        <v>308</v>
      </c>
      <c r="C142" s="1" t="s">
        <v>309</v>
      </c>
      <c r="D142" s="44"/>
      <c r="E142" s="1" t="s">
        <v>23</v>
      </c>
      <c r="F142" s="1" t="s">
        <v>24</v>
      </c>
      <c r="G142" s="1" t="s">
        <v>24</v>
      </c>
      <c r="H142" s="26">
        <v>100</v>
      </c>
      <c r="I142" s="27" t="str">
        <f>HYPERLINK("https://doc.morningstar.com/Document/7277ead488b79692fbddcc58d043a746.msdoc?clientid=fnz&amp;key=9c0e4d166b60ffd3","TMD")</f>
        <v>TMD</v>
      </c>
      <c r="J142" t="s">
        <v>25</v>
      </c>
      <c r="K142" s="1" t="s">
        <v>25</v>
      </c>
      <c r="L142" s="1" t="s">
        <v>25</v>
      </c>
      <c r="M142" s="1" t="s">
        <v>25</v>
      </c>
      <c r="N142" s="1" t="s">
        <v>26</v>
      </c>
      <c r="O142" s="1" t="s">
        <v>26</v>
      </c>
      <c r="P142" s="1" t="s">
        <v>27</v>
      </c>
      <c r="Q142" s="1" t="s">
        <v>27</v>
      </c>
    </row>
    <row r="143" spans="1:17" ht="16.5" customHeight="1" x14ac:dyDescent="0.25">
      <c r="A143" s="1" t="s">
        <v>76</v>
      </c>
      <c r="B143" s="1" t="s">
        <v>310</v>
      </c>
      <c r="C143" s="1" t="s">
        <v>311</v>
      </c>
      <c r="D143" s="44"/>
      <c r="E143" s="1" t="s">
        <v>23</v>
      </c>
      <c r="F143" s="1" t="s">
        <v>24</v>
      </c>
      <c r="G143" s="1" t="s">
        <v>24</v>
      </c>
      <c r="H143" s="26">
        <v>100</v>
      </c>
      <c r="I143" s="27" t="str">
        <f>HYPERLINK("https://doc.morningstar.com/Document/7277ead488b79692695801b73de1b741.msdoc?clientid=fnz&amp;key=9c0e4d166b60ffd3","TMD")</f>
        <v>TMD</v>
      </c>
      <c r="J143" t="s">
        <v>25</v>
      </c>
      <c r="K143" s="1" t="s">
        <v>25</v>
      </c>
      <c r="L143" s="1" t="s">
        <v>25</v>
      </c>
      <c r="M143" s="1" t="s">
        <v>25</v>
      </c>
      <c r="N143" s="1" t="s">
        <v>26</v>
      </c>
      <c r="O143" s="1" t="s">
        <v>27</v>
      </c>
      <c r="P143" s="1" t="s">
        <v>27</v>
      </c>
      <c r="Q143" s="1" t="s">
        <v>26</v>
      </c>
    </row>
    <row r="144" spans="1:17" ht="16.5" customHeight="1" x14ac:dyDescent="0.25">
      <c r="A144" s="1" t="s">
        <v>58</v>
      </c>
      <c r="B144" s="1" t="s">
        <v>312</v>
      </c>
      <c r="C144" s="1" t="s">
        <v>313</v>
      </c>
      <c r="D144" s="44"/>
      <c r="E144" s="1" t="s">
        <v>23</v>
      </c>
      <c r="F144" s="1" t="s">
        <v>24</v>
      </c>
      <c r="G144" s="1" t="s">
        <v>24</v>
      </c>
      <c r="H144" s="26">
        <v>100</v>
      </c>
      <c r="I144" s="27" t="str">
        <f>HYPERLINK("https://doc.morningstar.com/Document/7277ead488b796920249860912c6506d.msdoc?clientid=fnz&amp;key=9c0e4d166b60ffd3","TMD")</f>
        <v>TMD</v>
      </c>
      <c r="J144" t="s">
        <v>25</v>
      </c>
      <c r="K144" s="1" t="s">
        <v>25</v>
      </c>
      <c r="L144" s="1" t="s">
        <v>25</v>
      </c>
      <c r="M144" s="1" t="s">
        <v>25</v>
      </c>
      <c r="N144" s="1" t="s">
        <v>26</v>
      </c>
      <c r="O144" s="1" t="s">
        <v>26</v>
      </c>
      <c r="P144" s="1" t="s">
        <v>27</v>
      </c>
      <c r="Q144" s="1" t="s">
        <v>27</v>
      </c>
    </row>
    <row r="145" spans="1:17" ht="16.5" customHeight="1" x14ac:dyDescent="0.25">
      <c r="A145" s="1" t="s">
        <v>58</v>
      </c>
      <c r="B145" s="1" t="s">
        <v>314</v>
      </c>
      <c r="C145" s="1" t="s">
        <v>315</v>
      </c>
      <c r="D145" s="44"/>
      <c r="E145" s="1" t="s">
        <v>23</v>
      </c>
      <c r="F145" s="1" t="s">
        <v>24</v>
      </c>
      <c r="G145" s="1" t="s">
        <v>24</v>
      </c>
      <c r="H145" s="26">
        <v>100</v>
      </c>
      <c r="I145" s="27" t="str">
        <f>HYPERLINK("https://doc.morningstar.com/Document/4e20acda44b2d60575bb1e2a73c1d6d3.msdoc?clientid=fnz&amp;key=9c0e4d166b60ffd3","TMD")</f>
        <v>TMD</v>
      </c>
      <c r="J145" t="s">
        <v>25</v>
      </c>
      <c r="K145" s="1" t="s">
        <v>25</v>
      </c>
      <c r="L145" s="1" t="s">
        <v>25</v>
      </c>
      <c r="M145" s="1" t="s">
        <v>25</v>
      </c>
      <c r="N145" s="1" t="s">
        <v>26</v>
      </c>
      <c r="O145" s="1" t="s">
        <v>26</v>
      </c>
      <c r="P145" s="1" t="s">
        <v>27</v>
      </c>
      <c r="Q145" s="1" t="s">
        <v>27</v>
      </c>
    </row>
    <row r="146" spans="1:17" ht="16.5" customHeight="1" x14ac:dyDescent="0.25">
      <c r="A146" s="1" t="s">
        <v>58</v>
      </c>
      <c r="B146" s="1" t="s">
        <v>316</v>
      </c>
      <c r="C146" s="1" t="s">
        <v>317</v>
      </c>
      <c r="D146" s="44"/>
      <c r="E146" s="1" t="s">
        <v>40</v>
      </c>
      <c r="F146" s="1" t="s">
        <v>24</v>
      </c>
      <c r="G146" s="1" t="s">
        <v>24</v>
      </c>
      <c r="H146" s="26">
        <v>100</v>
      </c>
      <c r="I146" s="27" t="str">
        <f>HYPERLINK("https://doc.morningstar.com/Document/c332e56d7bc948f40dd278e119e80cf9.msdoc?clientid=fnz&amp;key=9c0e4d166b60ffd3","TMD")</f>
        <v>TMD</v>
      </c>
      <c r="J146" t="s">
        <v>25</v>
      </c>
      <c r="K146" s="1" t="s">
        <v>25</v>
      </c>
      <c r="L146" s="1" t="s">
        <v>25</v>
      </c>
      <c r="M146" s="1" t="s">
        <v>25</v>
      </c>
      <c r="N146" s="1" t="s">
        <v>26</v>
      </c>
      <c r="O146" s="1" t="s">
        <v>26</v>
      </c>
      <c r="P146" s="1" t="s">
        <v>27</v>
      </c>
      <c r="Q146" s="1" t="s">
        <v>27</v>
      </c>
    </row>
    <row r="147" spans="1:17" ht="16.5" customHeight="1" x14ac:dyDescent="0.25">
      <c r="A147" s="1" t="s">
        <v>318</v>
      </c>
      <c r="B147" s="1" t="s">
        <v>319</v>
      </c>
      <c r="C147" s="1" t="s">
        <v>320</v>
      </c>
      <c r="D147" s="44"/>
      <c r="E147" s="1" t="s">
        <v>40</v>
      </c>
      <c r="F147" s="1" t="s">
        <v>24</v>
      </c>
      <c r="G147" s="1" t="s">
        <v>24</v>
      </c>
      <c r="H147" s="26">
        <v>100</v>
      </c>
      <c r="I147" s="27" t="str">
        <f>HYPERLINK("https://doc.morningstar.com/Document/59b9980ade0648b787ad73e5f2e25b31.msdoc?clientid=fnz&amp;key=9c0e4d166b60ffd3","TMD")</f>
        <v>TMD</v>
      </c>
      <c r="J147" t="s">
        <v>25</v>
      </c>
      <c r="K147" s="1" t="s">
        <v>25</v>
      </c>
      <c r="L147" s="1" t="s">
        <v>25</v>
      </c>
      <c r="M147" s="1" t="s">
        <v>25</v>
      </c>
      <c r="N147" s="1" t="s">
        <v>27</v>
      </c>
      <c r="O147" s="1" t="s">
        <v>27</v>
      </c>
      <c r="P147" s="1" t="s">
        <v>26</v>
      </c>
      <c r="Q147" s="1" t="s">
        <v>26</v>
      </c>
    </row>
    <row r="148" spans="1:17" ht="16.5" customHeight="1" x14ac:dyDescent="0.25">
      <c r="A148" s="1" t="s">
        <v>31</v>
      </c>
      <c r="B148" s="1" t="s">
        <v>321</v>
      </c>
      <c r="C148" s="1" t="s">
        <v>322</v>
      </c>
      <c r="D148" s="44"/>
      <c r="E148" s="1" t="s">
        <v>40</v>
      </c>
      <c r="F148" s="1" t="s">
        <v>24</v>
      </c>
      <c r="G148" s="1" t="s">
        <v>24</v>
      </c>
      <c r="H148" s="26">
        <v>100</v>
      </c>
      <c r="I148" s="27" t="str">
        <f>HYPERLINK("https://doc.morningstar.com/Document/bd7accf283f88c2e0f3ccde9c7334617.msdoc?clientid=fnz&amp;key=9c0e4d166b60ffd3","TMD")</f>
        <v>TMD</v>
      </c>
      <c r="J148" t="s">
        <v>25</v>
      </c>
      <c r="K148" s="1" t="s">
        <v>25</v>
      </c>
      <c r="L148" s="1" t="s">
        <v>25</v>
      </c>
      <c r="M148" s="1" t="s">
        <v>25</v>
      </c>
      <c r="N148" s="1" t="s">
        <v>26</v>
      </c>
      <c r="O148" s="1" t="s">
        <v>26</v>
      </c>
      <c r="P148" s="1" t="s">
        <v>27</v>
      </c>
      <c r="Q148" s="1" t="s">
        <v>27</v>
      </c>
    </row>
    <row r="149" spans="1:17" ht="16.5" customHeight="1" x14ac:dyDescent="0.25">
      <c r="A149" s="1" t="s">
        <v>58</v>
      </c>
      <c r="B149" s="1" t="s">
        <v>323</v>
      </c>
      <c r="C149" s="1" t="s">
        <v>324</v>
      </c>
      <c r="D149" s="44"/>
      <c r="E149" s="1" t="s">
        <v>23</v>
      </c>
      <c r="F149" s="1" t="s">
        <v>24</v>
      </c>
      <c r="G149" s="1" t="s">
        <v>24</v>
      </c>
      <c r="H149" s="26">
        <v>100</v>
      </c>
      <c r="I149" s="27" t="str">
        <f>HYPERLINK("https://doc.morningstar.com/Document/194d09d5ba0e0c55c1e47038abcf718d.msdoc?clientid=fnz&amp;key=9c0e4d166b60ffd3","TMD")</f>
        <v>TMD</v>
      </c>
      <c r="J149" t="s">
        <v>25</v>
      </c>
      <c r="K149" s="1" t="s">
        <v>25</v>
      </c>
      <c r="L149" s="1" t="s">
        <v>25</v>
      </c>
      <c r="M149" s="1" t="s">
        <v>25</v>
      </c>
      <c r="N149" s="1" t="s">
        <v>26</v>
      </c>
      <c r="O149" s="1" t="s">
        <v>26</v>
      </c>
      <c r="P149" s="1" t="s">
        <v>27</v>
      </c>
      <c r="Q149" s="1" t="s">
        <v>27</v>
      </c>
    </row>
    <row r="150" spans="1:17" ht="16.5" customHeight="1" x14ac:dyDescent="0.25">
      <c r="A150" s="1" t="s">
        <v>31</v>
      </c>
      <c r="B150" s="1" t="s">
        <v>325</v>
      </c>
      <c r="C150" s="1" t="s">
        <v>326</v>
      </c>
      <c r="D150" s="44"/>
      <c r="E150" s="1" t="s">
        <v>40</v>
      </c>
      <c r="F150" s="1" t="s">
        <v>24</v>
      </c>
      <c r="G150" s="1" t="s">
        <v>24</v>
      </c>
      <c r="H150" s="26">
        <v>100</v>
      </c>
      <c r="I150" s="27" t="str">
        <f>HYPERLINK("https://doc.morningstar.com/Document/712f23f4f20108321d9a2a60233de189.msdoc?clientid=fnz&amp;key=9c0e4d166b60ffd3","TMD")</f>
        <v>TMD</v>
      </c>
      <c r="J150" t="s">
        <v>25</v>
      </c>
      <c r="K150" s="1" t="s">
        <v>25</v>
      </c>
      <c r="L150" s="1" t="s">
        <v>25</v>
      </c>
      <c r="M150" s="1" t="s">
        <v>25</v>
      </c>
      <c r="N150" s="1" t="s">
        <v>26</v>
      </c>
      <c r="O150" s="1" t="s">
        <v>26</v>
      </c>
      <c r="P150" s="1" t="s">
        <v>27</v>
      </c>
      <c r="Q150" s="1" t="s">
        <v>27</v>
      </c>
    </row>
    <row r="151" spans="1:17" ht="16.5" customHeight="1" x14ac:dyDescent="0.25">
      <c r="A151" s="1" t="s">
        <v>28</v>
      </c>
      <c r="B151" s="1" t="s">
        <v>327</v>
      </c>
      <c r="C151" s="1" t="s">
        <v>328</v>
      </c>
      <c r="D151" s="44"/>
      <c r="E151" s="1" t="s">
        <v>23</v>
      </c>
      <c r="F151" s="1" t="s">
        <v>24</v>
      </c>
      <c r="G151" s="1" t="s">
        <v>24</v>
      </c>
      <c r="H151" s="26">
        <v>30</v>
      </c>
      <c r="I151" s="27" t="str">
        <f>HYPERLINK("https://doc.morningstar.com/Document/194d09d5ba0e0c55f0d9031a0999a211.msdoc?clientid=fnz&amp;key=9c0e4d166b60ffd3","TMD")</f>
        <v>TMD</v>
      </c>
      <c r="J151" t="s">
        <v>25</v>
      </c>
      <c r="K151" s="1" t="s">
        <v>25</v>
      </c>
      <c r="L151" s="1" t="s">
        <v>25</v>
      </c>
      <c r="M151" s="1" t="s">
        <v>25</v>
      </c>
      <c r="N151" s="1" t="s">
        <v>26</v>
      </c>
      <c r="O151" s="1" t="s">
        <v>26</v>
      </c>
      <c r="P151" s="1" t="s">
        <v>26</v>
      </c>
      <c r="Q151" s="1" t="s">
        <v>27</v>
      </c>
    </row>
    <row r="152" spans="1:17" ht="16.5" customHeight="1" x14ac:dyDescent="0.25">
      <c r="A152" s="1" t="s">
        <v>225</v>
      </c>
      <c r="B152" s="1" t="s">
        <v>329</v>
      </c>
      <c r="C152" s="1" t="s">
        <v>330</v>
      </c>
      <c r="D152" s="44"/>
      <c r="E152" s="1" t="s">
        <v>23</v>
      </c>
      <c r="F152" s="1" t="s">
        <v>24</v>
      </c>
      <c r="G152" s="1" t="s">
        <v>24</v>
      </c>
      <c r="H152" s="26">
        <v>30</v>
      </c>
      <c r="I152" s="27" t="str">
        <f>HYPERLINK("https://doc.morningstar.com/Document/bac49c2621d84427380e4a6cfca11cb3.msdoc?clientid=fnz&amp;key=9c0e4d166b60ffd3","TMD")</f>
        <v>TMD</v>
      </c>
      <c r="J152" t="s">
        <v>25</v>
      </c>
      <c r="K152" s="1" t="s">
        <v>25</v>
      </c>
      <c r="L152" s="1" t="s">
        <v>25</v>
      </c>
      <c r="M152" s="1" t="s">
        <v>25</v>
      </c>
      <c r="N152" s="1" t="s">
        <v>26</v>
      </c>
      <c r="O152" s="1" t="s">
        <v>26</v>
      </c>
      <c r="P152" s="1" t="s">
        <v>26</v>
      </c>
      <c r="Q152" s="1" t="s">
        <v>27</v>
      </c>
    </row>
    <row r="153" spans="1:17" ht="16.5" customHeight="1" x14ac:dyDescent="0.25">
      <c r="A153" s="1" t="s">
        <v>52</v>
      </c>
      <c r="B153" s="1" t="s">
        <v>331</v>
      </c>
      <c r="C153" s="1" t="s">
        <v>332</v>
      </c>
      <c r="D153" s="44"/>
      <c r="E153" s="1" t="s">
        <v>40</v>
      </c>
      <c r="F153" s="1" t="s">
        <v>24</v>
      </c>
      <c r="G153" s="1" t="s">
        <v>24</v>
      </c>
      <c r="H153" s="26">
        <v>100</v>
      </c>
      <c r="I153" s="27" t="str">
        <f>HYPERLINK("https://doc.morningstar.com/Document/ad29c9399459f125a9decbf75c56f435.msdoc?clientid=fnz&amp;key=9c0e4d166b60ffd3","TMD")</f>
        <v>TMD</v>
      </c>
      <c r="J153" t="s">
        <v>25</v>
      </c>
      <c r="K153" s="1" t="s">
        <v>25</v>
      </c>
      <c r="L153" s="1" t="s">
        <v>25</v>
      </c>
      <c r="M153" s="1" t="s">
        <v>25</v>
      </c>
      <c r="N153" s="1" t="s">
        <v>26</v>
      </c>
      <c r="O153" s="1" t="s">
        <v>27</v>
      </c>
      <c r="P153" s="1" t="s">
        <v>27</v>
      </c>
      <c r="Q153" s="1" t="s">
        <v>26</v>
      </c>
    </row>
    <row r="154" spans="1:17" ht="16.5" customHeight="1" x14ac:dyDescent="0.25">
      <c r="A154" s="1" t="s">
        <v>52</v>
      </c>
      <c r="B154" s="1" t="s">
        <v>333</v>
      </c>
      <c r="C154" s="1" t="s">
        <v>334</v>
      </c>
      <c r="D154" s="44"/>
      <c r="E154" s="1" t="s">
        <v>40</v>
      </c>
      <c r="F154" s="1" t="s">
        <v>24</v>
      </c>
      <c r="G154" s="1" t="s">
        <v>24</v>
      </c>
      <c r="H154" s="26">
        <v>100</v>
      </c>
      <c r="I154" s="27" t="str">
        <f>HYPERLINK("https://doc.morningstar.com/Document/4e4f803ec48515e7bc37f4ebb7585f0d.msdoc?clientid=fnz&amp;key=9c0e4d166b60ffd3","TMD")</f>
        <v>TMD</v>
      </c>
      <c r="J154" t="s">
        <v>25</v>
      </c>
      <c r="K154" s="1" t="s">
        <v>25</v>
      </c>
      <c r="L154" s="1" t="s">
        <v>25</v>
      </c>
      <c r="M154" s="1" t="s">
        <v>25</v>
      </c>
      <c r="N154" s="1" t="s">
        <v>26</v>
      </c>
      <c r="O154" s="1" t="s">
        <v>27</v>
      </c>
      <c r="P154" s="1" t="s">
        <v>27</v>
      </c>
      <c r="Q154" s="1" t="s">
        <v>26</v>
      </c>
    </row>
    <row r="155" spans="1:17" ht="16.5" customHeight="1" x14ac:dyDescent="0.25">
      <c r="A155" s="1" t="s">
        <v>31</v>
      </c>
      <c r="B155" s="1" t="s">
        <v>335</v>
      </c>
      <c r="C155" s="1" t="s">
        <v>336</v>
      </c>
      <c r="D155" s="44"/>
      <c r="E155" s="1" t="s">
        <v>40</v>
      </c>
      <c r="F155" s="1" t="s">
        <v>24</v>
      </c>
      <c r="G155" s="1" t="s">
        <v>24</v>
      </c>
      <c r="H155" s="26">
        <v>100</v>
      </c>
      <c r="I155" s="27" t="str">
        <f>HYPERLINK("https://doc.morningstar.com/Document/0b8f7e7f024fbb9337578704690b68c8.msdoc?clientid=fnz&amp;key=9c0e4d166b60ffd3","TMD")</f>
        <v>TMD</v>
      </c>
      <c r="J155" t="s">
        <v>25</v>
      </c>
      <c r="K155" s="1" t="s">
        <v>25</v>
      </c>
      <c r="L155" s="1" t="s">
        <v>25</v>
      </c>
      <c r="M155" s="1" t="s">
        <v>25</v>
      </c>
      <c r="N155" s="1" t="s">
        <v>26</v>
      </c>
      <c r="O155" s="1" t="s">
        <v>26</v>
      </c>
      <c r="P155" s="1" t="s">
        <v>27</v>
      </c>
      <c r="Q155" s="1" t="s">
        <v>27</v>
      </c>
    </row>
    <row r="156" spans="1:17" ht="16.5" customHeight="1" x14ac:dyDescent="0.25">
      <c r="A156" s="1" t="s">
        <v>109</v>
      </c>
      <c r="B156" s="1" t="s">
        <v>337</v>
      </c>
      <c r="C156" s="1" t="s">
        <v>338</v>
      </c>
      <c r="D156" s="44"/>
      <c r="E156" s="1" t="s">
        <v>23</v>
      </c>
      <c r="F156" s="1" t="s">
        <v>24</v>
      </c>
      <c r="G156" s="1" t="s">
        <v>24</v>
      </c>
      <c r="H156" s="26">
        <v>100</v>
      </c>
      <c r="I156" s="27" t="str">
        <f>HYPERLINK("https://doc.morningstar.com/Document/b76217cda052999cd8c3be88aab68bb1.msdoc?clientid=fnz&amp;key=9c0e4d166b60ffd3","TMD")</f>
        <v>TMD</v>
      </c>
      <c r="J156" t="s">
        <v>25</v>
      </c>
      <c r="K156" s="1" t="s">
        <v>25</v>
      </c>
      <c r="L156" s="1" t="s">
        <v>25</v>
      </c>
      <c r="M156" s="1" t="s">
        <v>25</v>
      </c>
      <c r="N156" s="1" t="s">
        <v>26</v>
      </c>
      <c r="O156" s="1" t="s">
        <v>26</v>
      </c>
      <c r="P156" s="1" t="s">
        <v>27</v>
      </c>
      <c r="Q156" s="1" t="s">
        <v>27</v>
      </c>
    </row>
    <row r="157" spans="1:17" ht="16.5" customHeight="1" x14ac:dyDescent="0.25">
      <c r="A157" s="1" t="s">
        <v>109</v>
      </c>
      <c r="B157" s="1" t="s">
        <v>339</v>
      </c>
      <c r="C157" s="1" t="s">
        <v>340</v>
      </c>
      <c r="D157" s="44"/>
      <c r="E157" s="1" t="s">
        <v>23</v>
      </c>
      <c r="F157" s="1" t="s">
        <v>24</v>
      </c>
      <c r="G157" s="1" t="s">
        <v>24</v>
      </c>
      <c r="H157" s="26">
        <v>100</v>
      </c>
      <c r="I157" s="27" t="str">
        <f>HYPERLINK("https://doc.morningstar.com/Document/4e20acda44b2d60545d13f443d4ec680.msdoc?clientid=fnz&amp;key=9c0e4d166b60ffd3","TMD")</f>
        <v>TMD</v>
      </c>
      <c r="J157" t="s">
        <v>25</v>
      </c>
      <c r="K157" s="1" t="s">
        <v>25</v>
      </c>
      <c r="L157" s="1" t="s">
        <v>25</v>
      </c>
      <c r="M157" s="1" t="s">
        <v>25</v>
      </c>
      <c r="N157" s="1" t="s">
        <v>26</v>
      </c>
      <c r="O157" s="1" t="s">
        <v>27</v>
      </c>
      <c r="P157" s="1" t="s">
        <v>27</v>
      </c>
      <c r="Q157" s="1" t="s">
        <v>26</v>
      </c>
    </row>
    <row r="158" spans="1:17" ht="16.5" customHeight="1" x14ac:dyDescent="0.25">
      <c r="A158" s="1" t="s">
        <v>225</v>
      </c>
      <c r="B158" s="1" t="s">
        <v>341</v>
      </c>
      <c r="C158" s="1" t="s">
        <v>342</v>
      </c>
      <c r="D158" s="44"/>
      <c r="E158" s="1" t="s">
        <v>23</v>
      </c>
      <c r="F158" s="1" t="s">
        <v>24</v>
      </c>
      <c r="G158" s="1" t="s">
        <v>24</v>
      </c>
      <c r="H158" s="26">
        <v>30</v>
      </c>
      <c r="I158" s="27" t="str">
        <f>HYPERLINK("https://doc.morningstar.com/Document/bac49c2621d844279f209a63183a16b4.msdoc?clientid=fnz&amp;key=9c0e4d166b60ffd3","TMD")</f>
        <v>TMD</v>
      </c>
      <c r="J158" t="s">
        <v>25</v>
      </c>
      <c r="K158" s="1" t="s">
        <v>25</v>
      </c>
      <c r="L158" s="1" t="s">
        <v>25</v>
      </c>
      <c r="M158" s="1" t="s">
        <v>25</v>
      </c>
      <c r="N158" s="1" t="s">
        <v>26</v>
      </c>
      <c r="O158" s="1" t="s">
        <v>26</v>
      </c>
      <c r="P158" s="1" t="s">
        <v>26</v>
      </c>
      <c r="Q158" s="1" t="s">
        <v>27</v>
      </c>
    </row>
    <row r="159" spans="1:17" ht="16.5" customHeight="1" x14ac:dyDescent="0.25">
      <c r="A159" s="1" t="s">
        <v>34</v>
      </c>
      <c r="B159" s="1" t="s">
        <v>343</v>
      </c>
      <c r="C159" s="1" t="s">
        <v>344</v>
      </c>
      <c r="D159" s="44"/>
      <c r="E159" s="1" t="s">
        <v>23</v>
      </c>
      <c r="F159" s="1" t="s">
        <v>24</v>
      </c>
      <c r="G159" s="1" t="s">
        <v>24</v>
      </c>
      <c r="H159" s="26">
        <v>30</v>
      </c>
      <c r="I159" s="27" t="str">
        <f>HYPERLINK("https://doc.morningstar.com/Document/aadce39ab5893ebfc95ea4be119f3e6d.msdoc?clientid=fnz&amp;key=9c0e4d166b60ffd3","TMD")</f>
        <v>TMD</v>
      </c>
      <c r="J159" t="s">
        <v>25</v>
      </c>
      <c r="K159" s="1" t="s">
        <v>25</v>
      </c>
      <c r="L159" s="1" t="s">
        <v>25</v>
      </c>
      <c r="M159" s="1" t="s">
        <v>25</v>
      </c>
      <c r="N159" s="1" t="s">
        <v>26</v>
      </c>
      <c r="O159" s="1" t="s">
        <v>26</v>
      </c>
      <c r="P159" s="1" t="s">
        <v>26</v>
      </c>
      <c r="Q159" s="1" t="s">
        <v>27</v>
      </c>
    </row>
    <row r="160" spans="1:17" ht="16.5" customHeight="1" x14ac:dyDescent="0.25">
      <c r="A160" s="1" t="s">
        <v>34</v>
      </c>
      <c r="B160" s="1" t="s">
        <v>345</v>
      </c>
      <c r="C160" s="1" t="s">
        <v>346</v>
      </c>
      <c r="D160" s="44"/>
      <c r="E160" s="1" t="s">
        <v>61</v>
      </c>
      <c r="F160" s="1" t="s">
        <v>24</v>
      </c>
      <c r="G160" s="1" t="s">
        <v>24</v>
      </c>
      <c r="H160" s="26">
        <v>30</v>
      </c>
      <c r="I160" s="27" t="str">
        <f>HYPERLINK("https://doc.morningstar.com/Document/3d3e1bc5c43ade539fbd7a966761c1d4.msdoc?clientid=fnz&amp;key=9c0e4d166b60ffd3","TMD")</f>
        <v>TMD</v>
      </c>
      <c r="J160" t="s">
        <v>25</v>
      </c>
      <c r="K160" s="1" t="s">
        <v>25</v>
      </c>
      <c r="L160" s="1" t="s">
        <v>25</v>
      </c>
      <c r="M160" s="1" t="s">
        <v>25</v>
      </c>
      <c r="N160" s="1" t="s">
        <v>26</v>
      </c>
      <c r="O160" s="1" t="s">
        <v>26</v>
      </c>
      <c r="P160" s="1" t="s">
        <v>27</v>
      </c>
      <c r="Q160" s="1" t="s">
        <v>27</v>
      </c>
    </row>
    <row r="161" spans="1:17" ht="16.5" customHeight="1" x14ac:dyDescent="0.25">
      <c r="A161" s="1" t="s">
        <v>58</v>
      </c>
      <c r="B161" s="1" t="s">
        <v>347</v>
      </c>
      <c r="C161" s="1" t="s">
        <v>348</v>
      </c>
      <c r="D161" s="44"/>
      <c r="E161" s="1" t="s">
        <v>61</v>
      </c>
      <c r="F161" s="1" t="s">
        <v>24</v>
      </c>
      <c r="G161" s="1" t="s">
        <v>24</v>
      </c>
      <c r="H161" s="26">
        <v>100</v>
      </c>
      <c r="I161" s="27" t="str">
        <f>HYPERLINK("https://doc.morningstar.com/Document/127f97da3eebeb80fdbc052b31acf709.msdoc?clientid=fnz&amp;key=9c0e4d166b60ffd3","TMD")</f>
        <v>TMD</v>
      </c>
      <c r="J161" t="s">
        <v>25</v>
      </c>
      <c r="K161" s="1" t="s">
        <v>26</v>
      </c>
      <c r="L161" s="1" t="s">
        <v>27</v>
      </c>
      <c r="M161" s="1" t="s">
        <v>27</v>
      </c>
      <c r="N161" s="1" t="s">
        <v>26</v>
      </c>
      <c r="O161" s="1" t="s">
        <v>26</v>
      </c>
      <c r="P161" s="1" t="s">
        <v>26</v>
      </c>
      <c r="Q161" s="1" t="s">
        <v>27</v>
      </c>
    </row>
    <row r="162" spans="1:17" ht="16.5" customHeight="1" x14ac:dyDescent="0.25">
      <c r="A162" s="1" t="s">
        <v>84</v>
      </c>
      <c r="B162" s="1" t="s">
        <v>349</v>
      </c>
      <c r="C162" s="1" t="s">
        <v>350</v>
      </c>
      <c r="D162" s="44"/>
      <c r="E162" s="1" t="s">
        <v>40</v>
      </c>
      <c r="F162" s="1" t="s">
        <v>24</v>
      </c>
      <c r="G162" s="1" t="s">
        <v>24</v>
      </c>
      <c r="H162" s="26">
        <v>100</v>
      </c>
      <c r="I162" s="27" t="str">
        <f>HYPERLINK("https://doc.morningstar.com/Document/af54bb4b61d5c025a21fb874092fef49.msdoc?clientid=fnz&amp;key=9c0e4d166b60ffd3","TMD")</f>
        <v>TMD</v>
      </c>
      <c r="J162" t="s">
        <v>25</v>
      </c>
      <c r="K162" s="1" t="s">
        <v>25</v>
      </c>
      <c r="L162" s="1" t="s">
        <v>25</v>
      </c>
      <c r="M162" s="1" t="s">
        <v>25</v>
      </c>
      <c r="N162" s="1" t="s">
        <v>27</v>
      </c>
      <c r="O162" s="1" t="s">
        <v>27</v>
      </c>
      <c r="P162" s="1" t="s">
        <v>27</v>
      </c>
      <c r="Q162" s="1" t="s">
        <v>27</v>
      </c>
    </row>
    <row r="163" spans="1:17" ht="16.5" customHeight="1" x14ac:dyDescent="0.25">
      <c r="A163" s="1" t="s">
        <v>52</v>
      </c>
      <c r="B163" s="1" t="s">
        <v>351</v>
      </c>
      <c r="C163" s="1" t="s">
        <v>352</v>
      </c>
      <c r="D163" s="44"/>
      <c r="E163" s="1" t="s">
        <v>40</v>
      </c>
      <c r="F163" s="1" t="s">
        <v>24</v>
      </c>
      <c r="G163" s="1" t="s">
        <v>24</v>
      </c>
      <c r="H163" s="26">
        <v>100</v>
      </c>
      <c r="I163" s="27" t="str">
        <f>HYPERLINK("https://doc.morningstar.com/Document/00f06dcfdede7d8a5bdb8f7b09c7a164.msdoc?clientid=fnz&amp;key=9c0e4d166b60ffd3","TMD")</f>
        <v>TMD</v>
      </c>
      <c r="J163" t="s">
        <v>25</v>
      </c>
      <c r="K163" s="1" t="s">
        <v>25</v>
      </c>
      <c r="L163" s="1" t="s">
        <v>25</v>
      </c>
      <c r="M163" s="1" t="s">
        <v>25</v>
      </c>
      <c r="N163" s="1" t="s">
        <v>27</v>
      </c>
      <c r="O163" s="1" t="s">
        <v>27</v>
      </c>
      <c r="P163" s="1" t="s">
        <v>27</v>
      </c>
      <c r="Q163" s="1" t="s">
        <v>27</v>
      </c>
    </row>
    <row r="164" spans="1:17" ht="16.5" customHeight="1" x14ac:dyDescent="0.25">
      <c r="A164" s="1" t="s">
        <v>52</v>
      </c>
      <c r="B164" s="1" t="s">
        <v>353</v>
      </c>
      <c r="C164" s="1" t="s">
        <v>354</v>
      </c>
      <c r="D164" s="44"/>
      <c r="E164" s="1" t="s">
        <v>40</v>
      </c>
      <c r="F164" s="1" t="s">
        <v>24</v>
      </c>
      <c r="G164" s="1" t="s">
        <v>24</v>
      </c>
      <c r="H164" s="26">
        <v>100</v>
      </c>
      <c r="I164" s="27" t="str">
        <f>HYPERLINK("https://doc.morningstar.com/Document/8e4568f81dfb5cea7a02fbb212708002.msdoc?clientid=fnz&amp;key=9c0e4d166b60ffd3","TMD")</f>
        <v>TMD</v>
      </c>
      <c r="J164" t="s">
        <v>25</v>
      </c>
      <c r="K164" s="1" t="s">
        <v>25</v>
      </c>
      <c r="L164" s="1" t="s">
        <v>25</v>
      </c>
      <c r="M164" s="1" t="s">
        <v>25</v>
      </c>
      <c r="N164" s="1" t="s">
        <v>27</v>
      </c>
      <c r="O164" s="1" t="s">
        <v>27</v>
      </c>
      <c r="P164" s="1" t="s">
        <v>27</v>
      </c>
      <c r="Q164" s="1" t="s">
        <v>27</v>
      </c>
    </row>
    <row r="165" spans="1:17" ht="16.5" customHeight="1" x14ac:dyDescent="0.25">
      <c r="A165" s="1" t="s">
        <v>52</v>
      </c>
      <c r="B165" s="1" t="s">
        <v>355</v>
      </c>
      <c r="C165" s="1" t="s">
        <v>356</v>
      </c>
      <c r="D165" s="44"/>
      <c r="E165" s="1" t="s">
        <v>40</v>
      </c>
      <c r="F165" s="1" t="s">
        <v>24</v>
      </c>
      <c r="G165" s="1" t="s">
        <v>24</v>
      </c>
      <c r="H165" s="26">
        <v>100</v>
      </c>
      <c r="I165" s="27" t="str">
        <f>HYPERLINK("https://doc.morningstar.com/Document/b49e27eab6fced24f700c873be44a3c0.msdoc?clientid=fnz&amp;key=9c0e4d166b60ffd3","TMD")</f>
        <v>TMD</v>
      </c>
      <c r="J165" t="s">
        <v>25</v>
      </c>
      <c r="K165" s="1" t="s">
        <v>25</v>
      </c>
      <c r="L165" s="1" t="s">
        <v>25</v>
      </c>
      <c r="M165" s="1" t="s">
        <v>25</v>
      </c>
      <c r="N165" s="1" t="s">
        <v>27</v>
      </c>
      <c r="O165" s="1" t="s">
        <v>27</v>
      </c>
      <c r="P165" s="1" t="s">
        <v>27</v>
      </c>
      <c r="Q165" s="1" t="s">
        <v>27</v>
      </c>
    </row>
    <row r="166" spans="1:17" ht="16.5" customHeight="1" x14ac:dyDescent="0.25">
      <c r="A166" s="1" t="s">
        <v>225</v>
      </c>
      <c r="B166" s="1" t="s">
        <v>357</v>
      </c>
      <c r="C166" s="1" t="s">
        <v>358</v>
      </c>
      <c r="D166" s="44"/>
      <c r="E166" s="1" t="s">
        <v>61</v>
      </c>
      <c r="F166" s="1" t="s">
        <v>24</v>
      </c>
      <c r="G166" s="1" t="s">
        <v>24</v>
      </c>
      <c r="H166" s="26">
        <v>30</v>
      </c>
      <c r="I166" s="27" t="str">
        <f>HYPERLINK("https://doc.morningstar.com/Document/7090abb4373c238ec324733bf111c4f6.msdoc?clientid=fnz&amp;key=9c0e4d166b60ffd3","TMD")</f>
        <v>TMD</v>
      </c>
      <c r="J166" t="s">
        <v>25</v>
      </c>
      <c r="K166" s="1" t="s">
        <v>26</v>
      </c>
      <c r="L166" s="1" t="s">
        <v>27</v>
      </c>
      <c r="M166" s="1" t="s">
        <v>27</v>
      </c>
      <c r="N166" s="1" t="s">
        <v>26</v>
      </c>
      <c r="O166" s="1" t="s">
        <v>26</v>
      </c>
      <c r="P166" s="1" t="s">
        <v>26</v>
      </c>
      <c r="Q166" s="1" t="s">
        <v>27</v>
      </c>
    </row>
    <row r="167" spans="1:17" ht="16.5" customHeight="1" x14ac:dyDescent="0.25">
      <c r="A167" s="1" t="s">
        <v>58</v>
      </c>
      <c r="B167" s="1" t="s">
        <v>359</v>
      </c>
      <c r="C167" s="1" t="s">
        <v>360</v>
      </c>
      <c r="D167" s="44"/>
      <c r="E167" s="1" t="s">
        <v>61</v>
      </c>
      <c r="F167" s="1" t="s">
        <v>24</v>
      </c>
      <c r="G167" s="1" t="s">
        <v>24</v>
      </c>
      <c r="H167" s="26">
        <v>100</v>
      </c>
      <c r="I167" s="27" t="str">
        <f>HYPERLINK("https://doc.morningstar.com/Document/19854a931597cad7350e06f4017bc7f8.msdoc?clientid=fnz&amp;key=9c0e4d166b60ffd3","TMD")</f>
        <v>TMD</v>
      </c>
      <c r="J167" t="s">
        <v>25</v>
      </c>
      <c r="K167" s="1" t="s">
        <v>25</v>
      </c>
      <c r="L167" s="1" t="s">
        <v>25</v>
      </c>
      <c r="M167" s="1" t="s">
        <v>25</v>
      </c>
      <c r="N167" s="1" t="s">
        <v>26</v>
      </c>
      <c r="O167" s="1" t="s">
        <v>26</v>
      </c>
      <c r="P167" s="1" t="s">
        <v>27</v>
      </c>
      <c r="Q167" s="1" t="s">
        <v>27</v>
      </c>
    </row>
    <row r="168" spans="1:17" ht="16.5" customHeight="1" x14ac:dyDescent="0.25">
      <c r="A168" s="1" t="s">
        <v>31</v>
      </c>
      <c r="B168" s="1" t="s">
        <v>361</v>
      </c>
      <c r="C168" s="1" t="s">
        <v>362</v>
      </c>
      <c r="D168" s="44"/>
      <c r="E168" s="1" t="s">
        <v>61</v>
      </c>
      <c r="F168" s="1" t="s">
        <v>24</v>
      </c>
      <c r="G168" s="1" t="s">
        <v>24</v>
      </c>
      <c r="H168" s="26">
        <v>100</v>
      </c>
      <c r="I168" s="27" t="str">
        <f>HYPERLINK("https://doc.morningstar.com/Document/d5cf66e263ff7f6d9e9eed21a2219747.msdoc?clientid=fnz&amp;key=9c0e4d166b60ffd3","TMD")</f>
        <v>TMD</v>
      </c>
      <c r="J168" t="s">
        <v>25</v>
      </c>
      <c r="K168" s="1" t="s">
        <v>25</v>
      </c>
      <c r="L168" s="1" t="s">
        <v>25</v>
      </c>
      <c r="M168" s="1" t="s">
        <v>25</v>
      </c>
      <c r="N168" s="1" t="s">
        <v>26</v>
      </c>
      <c r="O168" s="1" t="s">
        <v>26</v>
      </c>
      <c r="P168" s="1" t="s">
        <v>27</v>
      </c>
      <c r="Q168" s="1" t="s">
        <v>27</v>
      </c>
    </row>
    <row r="169" spans="1:17" ht="16.5" customHeight="1" x14ac:dyDescent="0.25">
      <c r="A169" s="1" t="s">
        <v>34</v>
      </c>
      <c r="B169" s="1" t="s">
        <v>363</v>
      </c>
      <c r="C169" s="1" t="s">
        <v>364</v>
      </c>
      <c r="D169" s="44"/>
      <c r="E169" s="1" t="s">
        <v>23</v>
      </c>
      <c r="F169" s="1" t="s">
        <v>24</v>
      </c>
      <c r="G169" s="1" t="s">
        <v>24</v>
      </c>
      <c r="H169" s="26">
        <v>30</v>
      </c>
      <c r="I169" s="27" t="str">
        <f>HYPERLINK("https://doc.morningstar.com/Document/23e23b1f80cc1f8079d7f14dc6c29c6a.msdoc?clientid=fnz&amp;key=9c0e4d166b60ffd3","TMD")</f>
        <v>TMD</v>
      </c>
      <c r="J169" t="s">
        <v>25</v>
      </c>
      <c r="K169" s="1" t="s">
        <v>25</v>
      </c>
      <c r="L169" s="1" t="s">
        <v>25</v>
      </c>
      <c r="M169" s="1" t="s">
        <v>25</v>
      </c>
      <c r="N169" s="1" t="s">
        <v>26</v>
      </c>
      <c r="O169" s="1" t="s">
        <v>26</v>
      </c>
      <c r="P169" s="1" t="s">
        <v>27</v>
      </c>
      <c r="Q169" s="1" t="s">
        <v>27</v>
      </c>
    </row>
    <row r="170" spans="1:17" ht="16.5" customHeight="1" x14ac:dyDescent="0.25">
      <c r="A170" s="1" t="s">
        <v>28</v>
      </c>
      <c r="B170" s="1" t="s">
        <v>365</v>
      </c>
      <c r="C170" s="1" t="s">
        <v>366</v>
      </c>
      <c r="D170" s="44"/>
      <c r="E170" s="1" t="s">
        <v>23</v>
      </c>
      <c r="F170" s="1" t="s">
        <v>24</v>
      </c>
      <c r="G170" s="1" t="s">
        <v>24</v>
      </c>
      <c r="H170" s="26">
        <v>30</v>
      </c>
      <c r="I170" s="27" t="str">
        <f>HYPERLINK("https://doc.morningstar.com/Document/f9c224390c1649cd4354f882c317b42b.msdoc?clientid=fnz&amp;key=9c0e4d166b60ffd3","TMD")</f>
        <v>TMD</v>
      </c>
      <c r="J170" t="s">
        <v>62</v>
      </c>
      <c r="K170" s="1" t="s">
        <v>25</v>
      </c>
      <c r="L170" s="1" t="s">
        <v>25</v>
      </c>
      <c r="M170" s="1" t="s">
        <v>25</v>
      </c>
      <c r="N170" s="1" t="s">
        <v>26</v>
      </c>
      <c r="O170" s="1" t="s">
        <v>26</v>
      </c>
      <c r="P170" s="1" t="s">
        <v>26</v>
      </c>
      <c r="Q170" s="1" t="s">
        <v>27</v>
      </c>
    </row>
    <row r="171" spans="1:17" ht="16.5" customHeight="1" x14ac:dyDescent="0.25">
      <c r="A171" s="1" t="s">
        <v>58</v>
      </c>
      <c r="B171" s="1" t="s">
        <v>367</v>
      </c>
      <c r="C171" s="1" t="s">
        <v>368</v>
      </c>
      <c r="D171" s="44"/>
      <c r="E171" s="1" t="s">
        <v>61</v>
      </c>
      <c r="F171" s="1" t="s">
        <v>24</v>
      </c>
      <c r="G171" s="1" t="s">
        <v>24</v>
      </c>
      <c r="H171" s="26">
        <v>100</v>
      </c>
      <c r="I171" s="27" t="str">
        <f>HYPERLINK("https://doc.morningstar.com/Document/d7dd468c3b2b73ab8ea73bad02c2a862.msdoc?clientid=fnz&amp;key=9c0e4d166b60ffd3","TMD")</f>
        <v>TMD</v>
      </c>
      <c r="J171" t="s">
        <v>25</v>
      </c>
      <c r="K171" s="1" t="s">
        <v>26</v>
      </c>
      <c r="L171" s="1" t="s">
        <v>216</v>
      </c>
      <c r="M171" s="1" t="s">
        <v>27</v>
      </c>
      <c r="N171" s="1" t="s">
        <v>26</v>
      </c>
      <c r="O171" s="1" t="s">
        <v>27</v>
      </c>
      <c r="P171" s="1" t="s">
        <v>27</v>
      </c>
      <c r="Q171" s="1" t="s">
        <v>26</v>
      </c>
    </row>
    <row r="172" spans="1:17" ht="16.5" customHeight="1" x14ac:dyDescent="0.25">
      <c r="A172" s="1" t="s">
        <v>81</v>
      </c>
      <c r="B172" s="1" t="s">
        <v>369</v>
      </c>
      <c r="C172" s="1" t="s">
        <v>370</v>
      </c>
      <c r="D172" s="44"/>
      <c r="E172" s="1" t="s">
        <v>40</v>
      </c>
      <c r="F172" s="1" t="s">
        <v>24</v>
      </c>
      <c r="G172" s="1" t="s">
        <v>24</v>
      </c>
      <c r="H172" s="26">
        <v>50</v>
      </c>
      <c r="I172" s="27" t="str">
        <f>HYPERLINK("https://doc.morningstar.com/Document/ffd68b7ba08bfc866408ce4dc2557a31.msdoc?clientid=fnz&amp;key=9c0e4d166b60ffd3","TMD")</f>
        <v>TMD</v>
      </c>
      <c r="J172" t="s">
        <v>25</v>
      </c>
      <c r="K172" s="1" t="s">
        <v>25</v>
      </c>
      <c r="L172" s="1" t="s">
        <v>25</v>
      </c>
      <c r="M172" s="1" t="s">
        <v>25</v>
      </c>
      <c r="N172" s="1" t="s">
        <v>26</v>
      </c>
      <c r="O172" s="1" t="s">
        <v>26</v>
      </c>
      <c r="P172" s="1" t="s">
        <v>27</v>
      </c>
      <c r="Q172" s="1" t="s">
        <v>27</v>
      </c>
    </row>
    <row r="173" spans="1:17" ht="16.5" customHeight="1" x14ac:dyDescent="0.25">
      <c r="A173" s="1" t="s">
        <v>58</v>
      </c>
      <c r="B173" s="1" t="s">
        <v>371</v>
      </c>
      <c r="C173" s="1" t="s">
        <v>372</v>
      </c>
      <c r="D173" s="44"/>
      <c r="E173" s="1" t="s">
        <v>61</v>
      </c>
      <c r="F173" s="1" t="s">
        <v>24</v>
      </c>
      <c r="G173" s="1" t="s">
        <v>24</v>
      </c>
      <c r="H173" s="26">
        <v>100</v>
      </c>
      <c r="I173" s="27" t="str">
        <f>HYPERLINK("https://doc.morningstar.com/Document/2162d11bf42d4cf3d19af16fa8111583.msdoc?clientid=fnz&amp;key=9c0e4d166b60ffd3","TMD")</f>
        <v>TMD</v>
      </c>
      <c r="J173" t="s">
        <v>25</v>
      </c>
      <c r="K173" s="1" t="s">
        <v>25</v>
      </c>
      <c r="L173" s="1" t="s">
        <v>25</v>
      </c>
      <c r="M173" s="1" t="s">
        <v>25</v>
      </c>
      <c r="N173" s="1" t="s">
        <v>26</v>
      </c>
      <c r="O173" s="1" t="s">
        <v>26</v>
      </c>
      <c r="P173" s="1" t="s">
        <v>27</v>
      </c>
      <c r="Q173" s="1" t="s">
        <v>27</v>
      </c>
    </row>
    <row r="174" spans="1:17" ht="16.5" customHeight="1" x14ac:dyDescent="0.25">
      <c r="A174" s="1" t="s">
        <v>58</v>
      </c>
      <c r="B174" s="1" t="s">
        <v>373</v>
      </c>
      <c r="C174" s="1" t="s">
        <v>374</v>
      </c>
      <c r="D174" s="44"/>
      <c r="E174" s="1" t="s">
        <v>61</v>
      </c>
      <c r="F174" s="1" t="s">
        <v>24</v>
      </c>
      <c r="G174" s="1" t="s">
        <v>24</v>
      </c>
      <c r="H174" s="26">
        <v>100</v>
      </c>
      <c r="I174" s="27" t="str">
        <f>HYPERLINK("https://doc.morningstar.com/Document/e79e8b0693185f5c8ca205b93d9d5249.msdoc?clientid=fnz&amp;key=9c0e4d166b60ffd3","TMD")</f>
        <v>TMD</v>
      </c>
      <c r="J174" t="s">
        <v>25</v>
      </c>
      <c r="K174" s="1" t="s">
        <v>25</v>
      </c>
      <c r="L174" s="1" t="s">
        <v>25</v>
      </c>
      <c r="M174" s="1" t="s">
        <v>25</v>
      </c>
      <c r="N174" s="1" t="s">
        <v>26</v>
      </c>
      <c r="O174" s="1" t="s">
        <v>26</v>
      </c>
      <c r="P174" s="1" t="s">
        <v>27</v>
      </c>
      <c r="Q174" s="1" t="s">
        <v>27</v>
      </c>
    </row>
    <row r="175" spans="1:17" ht="16.5" customHeight="1" x14ac:dyDescent="0.25">
      <c r="A175" s="1" t="s">
        <v>84</v>
      </c>
      <c r="B175" s="1" t="s">
        <v>375</v>
      </c>
      <c r="C175" s="1" t="s">
        <v>376</v>
      </c>
      <c r="D175" s="44"/>
      <c r="E175" s="1" t="s">
        <v>40</v>
      </c>
      <c r="F175" s="1" t="s">
        <v>24</v>
      </c>
      <c r="G175" s="1" t="s">
        <v>24</v>
      </c>
      <c r="H175" s="26">
        <v>100</v>
      </c>
      <c r="I175" s="27" t="str">
        <f>HYPERLINK("https://doc.morningstar.com/Document/8dc6ac569a27c6b50628fa91c7a8b9c0.msdoc?clientid=fnz&amp;key=9c0e4d166b60ffd3","TMD")</f>
        <v>TMD</v>
      </c>
      <c r="J175" t="s">
        <v>25</v>
      </c>
      <c r="K175" s="1" t="s">
        <v>25</v>
      </c>
      <c r="L175" s="1" t="s">
        <v>25</v>
      </c>
      <c r="M175" s="1" t="s">
        <v>25</v>
      </c>
      <c r="N175" s="1" t="s">
        <v>27</v>
      </c>
      <c r="O175" s="1" t="s">
        <v>27</v>
      </c>
      <c r="P175" s="1" t="s">
        <v>27</v>
      </c>
      <c r="Q175" s="1" t="s">
        <v>27</v>
      </c>
    </row>
    <row r="176" spans="1:17" ht="16.5" customHeight="1" x14ac:dyDescent="0.25">
      <c r="A176" s="1" t="s">
        <v>377</v>
      </c>
      <c r="B176" s="1" t="s">
        <v>378</v>
      </c>
      <c r="C176" s="1" t="s">
        <v>379</v>
      </c>
      <c r="D176" s="44"/>
      <c r="E176" s="1" t="s">
        <v>40</v>
      </c>
      <c r="F176" s="1" t="s">
        <v>24</v>
      </c>
      <c r="G176" s="1" t="s">
        <v>24</v>
      </c>
      <c r="H176" s="26">
        <v>100</v>
      </c>
      <c r="I176" s="27" t="str">
        <f>HYPERLINK("https://doc.morningstar.com/Document/21052f22a86076f28810f8bf32c21b09.msdoc?clientid=fnz&amp;key=9c0e4d166b60ffd3","TMD")</f>
        <v>TMD</v>
      </c>
      <c r="J176" t="s">
        <v>25</v>
      </c>
      <c r="K176" s="1" t="s">
        <v>25</v>
      </c>
      <c r="L176" s="1" t="s">
        <v>25</v>
      </c>
      <c r="M176" s="1" t="s">
        <v>25</v>
      </c>
      <c r="N176" s="1" t="s">
        <v>26</v>
      </c>
      <c r="O176" s="1" t="s">
        <v>27</v>
      </c>
      <c r="P176" s="1" t="s">
        <v>26</v>
      </c>
      <c r="Q176" s="1" t="s">
        <v>26</v>
      </c>
    </row>
    <row r="177" spans="1:17" ht="16.5" customHeight="1" x14ac:dyDescent="0.25">
      <c r="A177" s="1" t="s">
        <v>141</v>
      </c>
      <c r="B177" s="1" t="s">
        <v>380</v>
      </c>
      <c r="C177" s="1" t="s">
        <v>381</v>
      </c>
      <c r="D177" s="44"/>
      <c r="E177" s="1" t="s">
        <v>61</v>
      </c>
      <c r="F177" s="1" t="s">
        <v>24</v>
      </c>
      <c r="G177" s="1" t="s">
        <v>24</v>
      </c>
      <c r="H177" s="26">
        <v>20</v>
      </c>
      <c r="I177" s="27" t="str">
        <f>HYPERLINK("https://doc.morningstar.com/Document/7b9015dee468012a100b8e066c5d6ae6.msdoc?clientid=fnz&amp;key=9c0e4d166b60ffd3","TMD")</f>
        <v>TMD</v>
      </c>
      <c r="J177" t="s">
        <v>62</v>
      </c>
      <c r="K177" s="1" t="s">
        <v>26</v>
      </c>
      <c r="L177" s="1" t="s">
        <v>27</v>
      </c>
      <c r="M177" s="1" t="s">
        <v>216</v>
      </c>
      <c r="N177" s="1" t="s">
        <v>26</v>
      </c>
      <c r="O177" s="1" t="s">
        <v>26</v>
      </c>
      <c r="P177" s="1" t="s">
        <v>27</v>
      </c>
      <c r="Q177" s="1" t="s">
        <v>26</v>
      </c>
    </row>
    <row r="178" spans="1:17" ht="16.5" customHeight="1" x14ac:dyDescent="0.25">
      <c r="A178" s="1" t="s">
        <v>58</v>
      </c>
      <c r="B178" s="1" t="s">
        <v>382</v>
      </c>
      <c r="C178" s="1" t="s">
        <v>383</v>
      </c>
      <c r="D178" s="44"/>
      <c r="E178" s="1" t="s">
        <v>61</v>
      </c>
      <c r="F178" s="1" t="s">
        <v>24</v>
      </c>
      <c r="G178" s="1" t="s">
        <v>24</v>
      </c>
      <c r="H178" s="26">
        <v>100</v>
      </c>
      <c r="I178" s="27" t="str">
        <f>HYPERLINK("https://doc.morningstar.com/Document/2b6d3f6ae194b31f814783ccdad38be0.msdoc?clientid=fnz&amp;key=9c0e4d166b60ffd3","TMD")</f>
        <v>TMD</v>
      </c>
      <c r="J178" t="s">
        <v>25</v>
      </c>
      <c r="K178" s="1" t="s">
        <v>26</v>
      </c>
      <c r="L178" s="1" t="s">
        <v>216</v>
      </c>
      <c r="M178" s="1" t="s">
        <v>27</v>
      </c>
      <c r="N178" s="1" t="s">
        <v>26</v>
      </c>
      <c r="O178" s="1" t="s">
        <v>27</v>
      </c>
      <c r="P178" s="1" t="s">
        <v>27</v>
      </c>
      <c r="Q178" s="1" t="s">
        <v>26</v>
      </c>
    </row>
    <row r="179" spans="1:17" ht="16.5" customHeight="1" x14ac:dyDescent="0.25">
      <c r="A179" s="1" t="s">
        <v>28</v>
      </c>
      <c r="B179" s="1" t="s">
        <v>384</v>
      </c>
      <c r="C179" s="1" t="s">
        <v>385</v>
      </c>
      <c r="D179" s="44"/>
      <c r="E179" s="1" t="s">
        <v>23</v>
      </c>
      <c r="F179" s="1" t="s">
        <v>24</v>
      </c>
      <c r="G179" s="1" t="s">
        <v>24</v>
      </c>
      <c r="H179" s="26">
        <v>30</v>
      </c>
      <c r="I179" s="27" t="str">
        <f>HYPERLINK("https://doc.morningstar.com/Document/3df976298ba24b01158a50d8e85f5491.msdoc?clientid=fnz&amp;key=9c0e4d166b60ffd3","TMD")</f>
        <v>TMD</v>
      </c>
      <c r="J179" t="s">
        <v>25</v>
      </c>
      <c r="K179" s="1" t="s">
        <v>25</v>
      </c>
      <c r="L179" s="1" t="s">
        <v>25</v>
      </c>
      <c r="M179" s="1" t="s">
        <v>25</v>
      </c>
      <c r="N179" s="1" t="s">
        <v>26</v>
      </c>
      <c r="O179" s="1" t="s">
        <v>26</v>
      </c>
      <c r="P179" s="1" t="s">
        <v>27</v>
      </c>
      <c r="Q179" s="1" t="s">
        <v>27</v>
      </c>
    </row>
    <row r="180" spans="1:17" ht="16.5" customHeight="1" x14ac:dyDescent="0.25">
      <c r="A180" s="1" t="s">
        <v>31</v>
      </c>
      <c r="B180" s="1" t="s">
        <v>386</v>
      </c>
      <c r="C180" s="1" t="s">
        <v>387</v>
      </c>
      <c r="D180" s="44"/>
      <c r="E180" s="1" t="s">
        <v>61</v>
      </c>
      <c r="F180" s="1" t="s">
        <v>24</v>
      </c>
      <c r="G180" s="1" t="s">
        <v>24</v>
      </c>
      <c r="H180" s="26">
        <v>100</v>
      </c>
      <c r="I180" s="27" t="str">
        <f>HYPERLINK("https://doc.morningstar.com/Document/24729bc12095f3e2acef13d1abb203cb.msdoc?clientid=fnz&amp;key=9c0e4d166b60ffd3","TMD")</f>
        <v>TMD</v>
      </c>
      <c r="J180" t="s">
        <v>25</v>
      </c>
      <c r="K180" s="1" t="s">
        <v>25</v>
      </c>
      <c r="L180" s="1" t="s">
        <v>25</v>
      </c>
      <c r="M180" s="1" t="s">
        <v>25</v>
      </c>
      <c r="N180" s="1" t="s">
        <v>26</v>
      </c>
      <c r="O180" s="1" t="s">
        <v>26</v>
      </c>
      <c r="P180" s="1" t="s">
        <v>27</v>
      </c>
      <c r="Q180" s="1" t="s">
        <v>27</v>
      </c>
    </row>
    <row r="181" spans="1:17" ht="16.5" customHeight="1" x14ac:dyDescent="0.25">
      <c r="A181" s="1" t="s">
        <v>37</v>
      </c>
      <c r="B181" s="1" t="s">
        <v>388</v>
      </c>
      <c r="C181" s="1" t="s">
        <v>389</v>
      </c>
      <c r="D181" s="44"/>
      <c r="E181" s="1" t="s">
        <v>23</v>
      </c>
      <c r="F181" s="1" t="s">
        <v>24</v>
      </c>
      <c r="G181" s="1" t="s">
        <v>24</v>
      </c>
      <c r="H181" s="26">
        <v>50</v>
      </c>
      <c r="I181" s="27" t="str">
        <f>HYPERLINK("https://doc.morningstar.com/Document/fb07fe7d0846241421c12300fbb8760c.msdoc?clientid=fnz&amp;key=9c0e4d166b60ffd3","TMD")</f>
        <v>TMD</v>
      </c>
      <c r="J181" t="s">
        <v>25</v>
      </c>
      <c r="K181" s="1" t="s">
        <v>25</v>
      </c>
      <c r="L181" s="1" t="s">
        <v>25</v>
      </c>
      <c r="M181" s="1" t="s">
        <v>25</v>
      </c>
      <c r="N181" s="1" t="s">
        <v>26</v>
      </c>
      <c r="O181" s="1" t="s">
        <v>26</v>
      </c>
      <c r="P181" s="1" t="s">
        <v>27</v>
      </c>
      <c r="Q181" s="1" t="s">
        <v>27</v>
      </c>
    </row>
    <row r="182" spans="1:17" ht="16.5" customHeight="1" x14ac:dyDescent="0.25">
      <c r="A182" s="1" t="s">
        <v>52</v>
      </c>
      <c r="B182" s="1" t="s">
        <v>390</v>
      </c>
      <c r="C182" s="1" t="s">
        <v>391</v>
      </c>
      <c r="D182" s="44"/>
      <c r="E182" s="1" t="s">
        <v>40</v>
      </c>
      <c r="F182" s="1" t="s">
        <v>24</v>
      </c>
      <c r="G182" s="1" t="s">
        <v>24</v>
      </c>
      <c r="H182" s="26">
        <v>100</v>
      </c>
      <c r="I182" s="27" t="str">
        <f>HYPERLINK("https://doc.morningstar.com/Document/47226e0aa833f9b890ca6ea4a77b3cf6.msdoc?clientid=fnz&amp;key=9c0e4d166b60ffd3","TMD")</f>
        <v>TMD</v>
      </c>
      <c r="J182" t="s">
        <v>25</v>
      </c>
      <c r="K182" s="1" t="s">
        <v>26</v>
      </c>
      <c r="L182" s="1" t="s">
        <v>216</v>
      </c>
      <c r="M182" s="1" t="s">
        <v>27</v>
      </c>
      <c r="N182" s="1" t="s">
        <v>26</v>
      </c>
      <c r="O182" s="1" t="s">
        <v>27</v>
      </c>
      <c r="P182" s="1" t="s">
        <v>26</v>
      </c>
      <c r="Q182" s="1" t="s">
        <v>26</v>
      </c>
    </row>
    <row r="183" spans="1:17" ht="16.5" customHeight="1" x14ac:dyDescent="0.25">
      <c r="A183" s="1" t="s">
        <v>58</v>
      </c>
      <c r="B183" s="1" t="s">
        <v>392</v>
      </c>
      <c r="C183" s="1" t="s">
        <v>393</v>
      </c>
      <c r="D183" s="44"/>
      <c r="E183" s="1" t="s">
        <v>61</v>
      </c>
      <c r="F183" s="1" t="s">
        <v>24</v>
      </c>
      <c r="G183" s="1" t="s">
        <v>24</v>
      </c>
      <c r="H183" s="26">
        <v>100</v>
      </c>
      <c r="I183" s="27" t="str">
        <f>HYPERLINK("https://doc.morningstar.com/Document/2c69a08728481029cbc902779c65d8a1.msdoc?clientid=fnz&amp;key=9c0e4d166b60ffd3","TMD")</f>
        <v>TMD</v>
      </c>
      <c r="J183" t="s">
        <v>25</v>
      </c>
      <c r="K183" s="1" t="s">
        <v>25</v>
      </c>
      <c r="L183" s="1" t="s">
        <v>25</v>
      </c>
      <c r="M183" s="1" t="s">
        <v>25</v>
      </c>
      <c r="N183" s="1" t="s">
        <v>26</v>
      </c>
      <c r="O183" s="1" t="s">
        <v>26</v>
      </c>
      <c r="P183" s="1" t="s">
        <v>27</v>
      </c>
      <c r="Q183" s="1" t="s">
        <v>27</v>
      </c>
    </row>
    <row r="184" spans="1:17" ht="16.5" customHeight="1" x14ac:dyDescent="0.25">
      <c r="A184" s="1" t="s">
        <v>141</v>
      </c>
      <c r="B184" s="1" t="s">
        <v>394</v>
      </c>
      <c r="C184" s="1" t="s">
        <v>395</v>
      </c>
      <c r="D184" s="44"/>
      <c r="E184" s="1" t="s">
        <v>61</v>
      </c>
      <c r="F184" s="1" t="s">
        <v>24</v>
      </c>
      <c r="G184" s="1" t="s">
        <v>24</v>
      </c>
      <c r="H184" s="26">
        <v>20</v>
      </c>
      <c r="I184" s="27" t="str">
        <f>HYPERLINK("https://doc.morningstar.com/Document/7b9015dee468012aa9ceff82f8998a02.msdoc?clientid=fnz&amp;key=9c0e4d166b60ffd3","TMD")</f>
        <v>TMD</v>
      </c>
      <c r="J184" t="s">
        <v>62</v>
      </c>
      <c r="K184" s="1" t="s">
        <v>26</v>
      </c>
      <c r="L184" s="1" t="s">
        <v>27</v>
      </c>
      <c r="M184" s="1" t="s">
        <v>216</v>
      </c>
      <c r="N184" s="1" t="s">
        <v>26</v>
      </c>
      <c r="O184" s="1" t="s">
        <v>26</v>
      </c>
      <c r="P184" s="1" t="s">
        <v>27</v>
      </c>
      <c r="Q184" s="1" t="s">
        <v>26</v>
      </c>
    </row>
    <row r="185" spans="1:17" ht="16.5" customHeight="1" x14ac:dyDescent="0.25">
      <c r="A185" s="1" t="s">
        <v>52</v>
      </c>
      <c r="B185" s="1" t="s">
        <v>396</v>
      </c>
      <c r="C185" s="1" t="s">
        <v>397</v>
      </c>
      <c r="D185" s="44"/>
      <c r="E185" s="1" t="s">
        <v>45</v>
      </c>
      <c r="F185" s="1" t="s">
        <v>24</v>
      </c>
      <c r="G185" s="1" t="s">
        <v>24</v>
      </c>
      <c r="H185" s="26">
        <v>100</v>
      </c>
      <c r="I185" s="27" t="str">
        <f>HYPERLINK("https://doc.morningstar.com/Document/2ff95082c938360b2a90d1e053b2605a.msdoc?clientid=fnz&amp;key=9c0e4d166b60ffd3","TMD")</f>
        <v>TMD</v>
      </c>
      <c r="J185" t="s">
        <v>25</v>
      </c>
      <c r="K185" s="1" t="s">
        <v>25</v>
      </c>
      <c r="L185" s="1" t="s">
        <v>25</v>
      </c>
      <c r="M185" s="1" t="s">
        <v>25</v>
      </c>
      <c r="N185" s="1" t="s">
        <v>26</v>
      </c>
      <c r="O185" s="1" t="s">
        <v>27</v>
      </c>
      <c r="P185" s="1" t="s">
        <v>27</v>
      </c>
      <c r="Q185" s="1" t="s">
        <v>27</v>
      </c>
    </row>
    <row r="186" spans="1:17" ht="16.5" customHeight="1" x14ac:dyDescent="0.25">
      <c r="A186" s="1" t="s">
        <v>58</v>
      </c>
      <c r="B186" s="1" t="s">
        <v>398</v>
      </c>
      <c r="C186" s="1" t="s">
        <v>399</v>
      </c>
      <c r="D186" s="44"/>
      <c r="E186" s="1" t="s">
        <v>61</v>
      </c>
      <c r="F186" s="1" t="s">
        <v>24</v>
      </c>
      <c r="G186" s="1" t="s">
        <v>24</v>
      </c>
      <c r="H186" s="26">
        <v>100</v>
      </c>
      <c r="I186" s="27" t="str">
        <f>HYPERLINK("https://doc.morningstar.com/Document/d0d460d56cc0c94a5d29ea823dff9949.msdoc?clientid=fnz&amp;key=9c0e4d166b60ffd3","TMD")</f>
        <v>TMD</v>
      </c>
      <c r="J186" t="s">
        <v>25</v>
      </c>
      <c r="K186" s="1" t="s">
        <v>25</v>
      </c>
      <c r="L186" s="1" t="s">
        <v>25</v>
      </c>
      <c r="M186" s="1" t="s">
        <v>25</v>
      </c>
      <c r="N186" s="1" t="s">
        <v>26</v>
      </c>
      <c r="O186" s="1" t="s">
        <v>26</v>
      </c>
      <c r="P186" s="1" t="s">
        <v>27</v>
      </c>
      <c r="Q186" s="1" t="s">
        <v>27</v>
      </c>
    </row>
    <row r="187" spans="1:17" ht="16.5" customHeight="1" x14ac:dyDescent="0.25">
      <c r="A187" s="1" t="s">
        <v>225</v>
      </c>
      <c r="B187" s="1" t="s">
        <v>400</v>
      </c>
      <c r="C187" s="1" t="s">
        <v>401</v>
      </c>
      <c r="D187" s="44"/>
      <c r="E187" s="1" t="s">
        <v>61</v>
      </c>
      <c r="F187" s="1" t="s">
        <v>24</v>
      </c>
      <c r="G187" s="1" t="s">
        <v>24</v>
      </c>
      <c r="H187" s="26">
        <v>30</v>
      </c>
      <c r="I187" s="27" t="str">
        <f>HYPERLINK("https://doc.morningstar.com/Document/3ac7bed6199f4a0a2577922194def59b.msdoc?clientid=fnz&amp;key=9c0e4d166b60ffd3","TMD")</f>
        <v>TMD</v>
      </c>
      <c r="J187" t="s">
        <v>25</v>
      </c>
      <c r="K187" s="1" t="s">
        <v>26</v>
      </c>
      <c r="L187" s="1" t="s">
        <v>216</v>
      </c>
      <c r="M187" s="1" t="s">
        <v>27</v>
      </c>
      <c r="N187" s="1" t="s">
        <v>26</v>
      </c>
      <c r="O187" s="1" t="s">
        <v>216</v>
      </c>
      <c r="P187" s="1" t="s">
        <v>27</v>
      </c>
      <c r="Q187" s="1" t="s">
        <v>26</v>
      </c>
    </row>
    <row r="188" spans="1:17" ht="16.5" customHeight="1" x14ac:dyDescent="0.25">
      <c r="A188" s="1" t="s">
        <v>28</v>
      </c>
      <c r="B188" s="1" t="s">
        <v>402</v>
      </c>
      <c r="C188" s="1" t="s">
        <v>403</v>
      </c>
      <c r="D188" s="44"/>
      <c r="E188" s="1" t="s">
        <v>23</v>
      </c>
      <c r="F188" s="1" t="s">
        <v>24</v>
      </c>
      <c r="G188" s="1" t="s">
        <v>24</v>
      </c>
      <c r="H188" s="26">
        <v>30</v>
      </c>
      <c r="I188" s="27" t="str">
        <f>HYPERLINK("https://doc.morningstar.com/Document/18ee644666b62c895c99200c0a607fd5.msdoc?clientid=fnz&amp;key=9c0e4d166b60ffd3","TMD")</f>
        <v>TMD</v>
      </c>
      <c r="J188" t="s">
        <v>25</v>
      </c>
      <c r="K188" s="1" t="s">
        <v>25</v>
      </c>
      <c r="L188" s="1" t="s">
        <v>25</v>
      </c>
      <c r="M188" s="1" t="s">
        <v>25</v>
      </c>
      <c r="N188" s="1" t="s">
        <v>26</v>
      </c>
      <c r="O188" s="1" t="s">
        <v>26</v>
      </c>
      <c r="P188" s="1" t="s">
        <v>27</v>
      </c>
      <c r="Q188" s="1" t="s">
        <v>27</v>
      </c>
    </row>
    <row r="189" spans="1:17" ht="16.5" customHeight="1" x14ac:dyDescent="0.25">
      <c r="A189" s="1" t="s">
        <v>58</v>
      </c>
      <c r="B189" s="1" t="s">
        <v>404</v>
      </c>
      <c r="C189" s="1" t="s">
        <v>405</v>
      </c>
      <c r="D189" s="44"/>
      <c r="E189" s="1" t="s">
        <v>61</v>
      </c>
      <c r="F189" s="1" t="s">
        <v>24</v>
      </c>
      <c r="G189" s="1" t="s">
        <v>24</v>
      </c>
      <c r="H189" s="26">
        <v>100</v>
      </c>
      <c r="I189" s="27" t="str">
        <f>HYPERLINK("https://doc.morningstar.com/Document/3561505561dd958c6143d61035ea4d66.msdoc?clientid=fnz&amp;key=9c0e4d166b60ffd3","TMD")</f>
        <v>TMD</v>
      </c>
      <c r="J189" t="s">
        <v>25</v>
      </c>
      <c r="K189" s="1" t="s">
        <v>25</v>
      </c>
      <c r="L189" s="1" t="s">
        <v>25</v>
      </c>
      <c r="M189" s="1" t="s">
        <v>25</v>
      </c>
      <c r="N189" s="1" t="s">
        <v>26</v>
      </c>
      <c r="O189" s="1" t="s">
        <v>26</v>
      </c>
      <c r="P189" s="1" t="s">
        <v>27</v>
      </c>
      <c r="Q189" s="1" t="s">
        <v>27</v>
      </c>
    </row>
    <row r="190" spans="1:17" ht="16.5" customHeight="1" x14ac:dyDescent="0.25">
      <c r="A190" s="1" t="s">
        <v>58</v>
      </c>
      <c r="B190" s="1" t="s">
        <v>406</v>
      </c>
      <c r="C190" s="1" t="s">
        <v>407</v>
      </c>
      <c r="D190" s="44"/>
      <c r="E190" s="1" t="s">
        <v>61</v>
      </c>
      <c r="F190" s="1" t="s">
        <v>24</v>
      </c>
      <c r="G190" s="1" t="s">
        <v>24</v>
      </c>
      <c r="H190" s="26">
        <v>100</v>
      </c>
      <c r="I190" s="27" t="str">
        <f>HYPERLINK("https://doc.morningstar.com/Document/36c6a60aaf232bec6a3ea5e81c965dab.msdoc?clientid=fnz&amp;key=9c0e4d166b60ffd3","TMD")</f>
        <v>TMD</v>
      </c>
      <c r="J190" t="s">
        <v>25</v>
      </c>
      <c r="K190" s="1" t="s">
        <v>25</v>
      </c>
      <c r="L190" s="1" t="s">
        <v>25</v>
      </c>
      <c r="M190" s="1" t="s">
        <v>25</v>
      </c>
      <c r="N190" s="1" t="s">
        <v>26</v>
      </c>
      <c r="O190" s="1" t="s">
        <v>26</v>
      </c>
      <c r="P190" s="1" t="s">
        <v>27</v>
      </c>
      <c r="Q190" s="1" t="s">
        <v>27</v>
      </c>
    </row>
    <row r="191" spans="1:17" ht="16.5" customHeight="1" x14ac:dyDescent="0.25">
      <c r="A191" s="1" t="s">
        <v>52</v>
      </c>
      <c r="B191" s="1" t="s">
        <v>408</v>
      </c>
      <c r="C191" s="1" t="s">
        <v>409</v>
      </c>
      <c r="D191" s="44"/>
      <c r="E191" s="1" t="s">
        <v>45</v>
      </c>
      <c r="F191" s="1" t="s">
        <v>24</v>
      </c>
      <c r="G191" s="1" t="s">
        <v>24</v>
      </c>
      <c r="H191" s="26">
        <v>100</v>
      </c>
      <c r="I191" s="27" t="str">
        <f>HYPERLINK("https://doc.morningstar.com/Document/86130d04638005a6230628d9dca7a423.msdoc?clientid=fnz&amp;key=9c0e4d166b60ffd3","TMD")</f>
        <v>TMD</v>
      </c>
      <c r="J191" t="s">
        <v>25</v>
      </c>
      <c r="K191" s="1" t="s">
        <v>26</v>
      </c>
      <c r="L191" s="1" t="s">
        <v>216</v>
      </c>
      <c r="M191" s="1" t="s">
        <v>27</v>
      </c>
      <c r="N191" s="1" t="s">
        <v>26</v>
      </c>
      <c r="O191" s="1" t="s">
        <v>27</v>
      </c>
      <c r="P191" s="1" t="s">
        <v>26</v>
      </c>
      <c r="Q191" s="1" t="s">
        <v>26</v>
      </c>
    </row>
    <row r="192" spans="1:17" ht="16.5" customHeight="1" x14ac:dyDescent="0.25">
      <c r="A192" s="1" t="s">
        <v>31</v>
      </c>
      <c r="B192" s="1" t="s">
        <v>410</v>
      </c>
      <c r="C192" s="1" t="s">
        <v>411</v>
      </c>
      <c r="D192" s="44"/>
      <c r="E192" s="1" t="s">
        <v>23</v>
      </c>
      <c r="F192" s="1" t="s">
        <v>24</v>
      </c>
      <c r="G192" s="1" t="s">
        <v>24</v>
      </c>
      <c r="H192" s="26">
        <v>100</v>
      </c>
      <c r="I192" s="27" t="str">
        <f>HYPERLINK("https://doc.morningstar.com/Document/f05872bb6736e76723da7a5aaa1a799a.msdoc?clientid=fnz&amp;key=9c0e4d166b60ffd3","TMD")</f>
        <v>TMD</v>
      </c>
      <c r="J192" t="s">
        <v>25</v>
      </c>
      <c r="K192" s="1" t="s">
        <v>25</v>
      </c>
      <c r="L192" s="1" t="s">
        <v>25</v>
      </c>
      <c r="M192" s="1" t="s">
        <v>25</v>
      </c>
      <c r="N192" s="1" t="s">
        <v>26</v>
      </c>
      <c r="O192" s="1" t="s">
        <v>26</v>
      </c>
      <c r="P192" s="1" t="s">
        <v>27</v>
      </c>
      <c r="Q192" s="1" t="s">
        <v>27</v>
      </c>
    </row>
    <row r="193" spans="1:17" ht="16.5" customHeight="1" x14ac:dyDescent="0.25">
      <c r="A193" s="1" t="s">
        <v>52</v>
      </c>
      <c r="B193" s="1" t="s">
        <v>412</v>
      </c>
      <c r="C193" s="1" t="s">
        <v>413</v>
      </c>
      <c r="D193" s="44"/>
      <c r="E193" s="5" t="s">
        <v>45</v>
      </c>
      <c r="F193" s="1" t="s">
        <v>24</v>
      </c>
      <c r="G193" s="1" t="s">
        <v>24</v>
      </c>
      <c r="H193" s="26">
        <v>100</v>
      </c>
      <c r="I193" s="27" t="str">
        <f>HYPERLINK("https://doc.morningstar.com/Document/58b748a801028ce4aaa4a15d864b395b.msdoc?clientid=fnz&amp;key=9c0e4d166b60ffd3","TMD")</f>
        <v>TMD</v>
      </c>
      <c r="J193" t="s">
        <v>25</v>
      </c>
      <c r="K193" s="1" t="s">
        <v>25</v>
      </c>
      <c r="L193" s="1" t="s">
        <v>25</v>
      </c>
      <c r="M193" s="1" t="s">
        <v>25</v>
      </c>
      <c r="N193" s="1" t="s">
        <v>26</v>
      </c>
      <c r="O193" s="1" t="s">
        <v>27</v>
      </c>
      <c r="P193" s="1" t="s">
        <v>26</v>
      </c>
      <c r="Q193" s="1" t="s">
        <v>26</v>
      </c>
    </row>
    <row r="194" spans="1:17" ht="16.5" customHeight="1" x14ac:dyDescent="0.25">
      <c r="A194" s="1" t="s">
        <v>58</v>
      </c>
      <c r="B194" s="1" t="s">
        <v>414</v>
      </c>
      <c r="C194" s="1" t="s">
        <v>415</v>
      </c>
      <c r="D194" s="44"/>
      <c r="E194" s="1" t="s">
        <v>61</v>
      </c>
      <c r="F194" s="1" t="s">
        <v>24</v>
      </c>
      <c r="G194" s="1" t="s">
        <v>24</v>
      </c>
      <c r="H194" s="26">
        <v>100</v>
      </c>
      <c r="I194" s="27" t="str">
        <f>HYPERLINK("https://doc.morningstar.com/Document/92508242e3aa241f48e391f821e4d8bf.msdoc?clientid=fnz&amp;key=9c0e4d166b60ffd3","TMD")</f>
        <v>TMD</v>
      </c>
      <c r="J194" t="s">
        <v>25</v>
      </c>
      <c r="K194" s="1" t="s">
        <v>25</v>
      </c>
      <c r="L194" s="1" t="s">
        <v>25</v>
      </c>
      <c r="M194" s="1" t="s">
        <v>25</v>
      </c>
      <c r="N194" s="1" t="s">
        <v>26</v>
      </c>
      <c r="O194" s="1" t="s">
        <v>27</v>
      </c>
      <c r="P194" s="1" t="s">
        <v>27</v>
      </c>
      <c r="Q194" s="1" t="s">
        <v>26</v>
      </c>
    </row>
    <row r="195" spans="1:17" ht="16.5" customHeight="1" x14ac:dyDescent="0.25">
      <c r="A195" s="1" t="s">
        <v>58</v>
      </c>
      <c r="B195" s="1" t="s">
        <v>416</v>
      </c>
      <c r="C195" s="1" t="s">
        <v>417</v>
      </c>
      <c r="D195" s="44"/>
      <c r="E195" s="1" t="s">
        <v>23</v>
      </c>
      <c r="F195" s="1" t="s">
        <v>24</v>
      </c>
      <c r="G195" s="1" t="s">
        <v>24</v>
      </c>
      <c r="H195" s="26">
        <v>100</v>
      </c>
      <c r="I195" s="27" t="str">
        <f>HYPERLINK("https://doc.morningstar.com/Document/565d6a4fd8133e96f554c12b7da304f2.msdoc?clientid=fnz&amp;key=9c0e4d166b60ffd3","TMD")</f>
        <v>TMD</v>
      </c>
      <c r="J195" t="s">
        <v>25</v>
      </c>
      <c r="K195" s="1" t="s">
        <v>25</v>
      </c>
      <c r="L195" s="1" t="s">
        <v>25</v>
      </c>
      <c r="M195" s="1" t="s">
        <v>25</v>
      </c>
      <c r="N195" s="1" t="s">
        <v>26</v>
      </c>
      <c r="O195" s="1" t="s">
        <v>26</v>
      </c>
      <c r="P195" s="1" t="s">
        <v>27</v>
      </c>
      <c r="Q195" s="1" t="s">
        <v>27</v>
      </c>
    </row>
    <row r="196" spans="1:17" ht="16.5" customHeight="1" x14ac:dyDescent="0.25">
      <c r="A196" s="1" t="s">
        <v>52</v>
      </c>
      <c r="B196" s="1" t="s">
        <v>418</v>
      </c>
      <c r="C196" s="1" t="s">
        <v>419</v>
      </c>
      <c r="D196" s="44"/>
      <c r="E196" s="1" t="s">
        <v>40</v>
      </c>
      <c r="F196" s="1" t="s">
        <v>195</v>
      </c>
      <c r="G196" s="1" t="s">
        <v>24</v>
      </c>
      <c r="H196" s="26">
        <v>100</v>
      </c>
      <c r="I196" s="27" t="str">
        <f>HYPERLINK("https://doc.morningstar.com/Document/731f41aba0a254176061cb7240bf2359.msdoc?clientid=fnz&amp;key=9c0e4d166b60ffd3","TMD")</f>
        <v>TMD</v>
      </c>
      <c r="J196" t="s">
        <v>25</v>
      </c>
      <c r="K196" s="1" t="s">
        <v>25</v>
      </c>
      <c r="L196" s="1" t="s">
        <v>25</v>
      </c>
      <c r="M196" s="1" t="s">
        <v>25</v>
      </c>
      <c r="N196" s="1" t="s">
        <v>27</v>
      </c>
      <c r="O196" s="1" t="s">
        <v>27</v>
      </c>
      <c r="P196" s="1" t="s">
        <v>27</v>
      </c>
      <c r="Q196" s="1" t="s">
        <v>26</v>
      </c>
    </row>
    <row r="197" spans="1:17" ht="16.5" customHeight="1" x14ac:dyDescent="0.25">
      <c r="A197" s="1" t="s">
        <v>281</v>
      </c>
      <c r="B197" s="1" t="s">
        <v>420</v>
      </c>
      <c r="C197" s="1" t="s">
        <v>421</v>
      </c>
      <c r="D197" s="44"/>
      <c r="E197" s="1" t="s">
        <v>45</v>
      </c>
      <c r="F197" s="1" t="s">
        <v>24</v>
      </c>
      <c r="G197" s="1" t="s">
        <v>24</v>
      </c>
      <c r="H197" s="26">
        <v>100</v>
      </c>
      <c r="I197" s="27" t="str">
        <f>HYPERLINK("https://doc.morningstar.com/Document/c5feaa7fad657f572af6b37cce2a1451.msdoc?clientid=fnz&amp;key=9c0e4d166b60ffd3","TMD")</f>
        <v>TMD</v>
      </c>
      <c r="J197" t="s">
        <v>25</v>
      </c>
      <c r="K197" s="1" t="s">
        <v>25</v>
      </c>
      <c r="L197" s="1" t="s">
        <v>25</v>
      </c>
      <c r="M197" s="1" t="s">
        <v>25</v>
      </c>
      <c r="N197" s="1" t="s">
        <v>27</v>
      </c>
      <c r="O197" s="1" t="s">
        <v>27</v>
      </c>
      <c r="P197" s="1" t="s">
        <v>26</v>
      </c>
      <c r="Q197" s="1" t="s">
        <v>26</v>
      </c>
    </row>
    <row r="198" spans="1:17" ht="16.5" customHeight="1" x14ac:dyDescent="0.25">
      <c r="A198" s="1" t="s">
        <v>58</v>
      </c>
      <c r="B198" s="1" t="s">
        <v>422</v>
      </c>
      <c r="C198" s="1" t="s">
        <v>423</v>
      </c>
      <c r="D198" s="44"/>
      <c r="E198" s="1" t="s">
        <v>61</v>
      </c>
      <c r="F198" s="1" t="s">
        <v>24</v>
      </c>
      <c r="G198" s="1" t="s">
        <v>24</v>
      </c>
      <c r="H198" s="26">
        <v>100</v>
      </c>
      <c r="I198" s="27" t="str">
        <f>HYPERLINK("https://doc.morningstar.com/Document/4be56660d3d727dda5570c30f75a0b72.msdoc?clientid=fnz&amp;key=9c0e4d166b60ffd3","TMD")</f>
        <v>TMD</v>
      </c>
      <c r="J198" t="s">
        <v>25</v>
      </c>
      <c r="K198" s="1" t="s">
        <v>26</v>
      </c>
      <c r="L198" s="1" t="s">
        <v>216</v>
      </c>
      <c r="M198" s="1" t="s">
        <v>27</v>
      </c>
      <c r="N198" s="1" t="s">
        <v>26</v>
      </c>
      <c r="O198" s="1" t="s">
        <v>26</v>
      </c>
      <c r="P198" s="1" t="s">
        <v>27</v>
      </c>
      <c r="Q198" s="1" t="s">
        <v>27</v>
      </c>
    </row>
    <row r="199" spans="1:17" ht="16.5" customHeight="1" x14ac:dyDescent="0.25">
      <c r="A199" s="1" t="s">
        <v>52</v>
      </c>
      <c r="B199" s="1" t="s">
        <v>424</v>
      </c>
      <c r="C199" s="1" t="s">
        <v>425</v>
      </c>
      <c r="D199" s="44"/>
      <c r="E199" s="1" t="s">
        <v>40</v>
      </c>
      <c r="F199" s="1" t="s">
        <v>24</v>
      </c>
      <c r="G199" s="1" t="s">
        <v>24</v>
      </c>
      <c r="H199" s="26">
        <v>100</v>
      </c>
      <c r="I199" s="27" t="str">
        <f>HYPERLINK("https://doc.morningstar.com/Document/baed76a68265d1b6a041ebe16e4231b5.msdoc?clientid=fnz&amp;key=9c0e4d166b60ffd3","TMD")</f>
        <v>TMD</v>
      </c>
      <c r="J199" t="s">
        <v>25</v>
      </c>
      <c r="K199" s="1" t="s">
        <v>25</v>
      </c>
      <c r="L199" s="1" t="s">
        <v>25</v>
      </c>
      <c r="M199" s="1" t="s">
        <v>25</v>
      </c>
      <c r="N199" s="1" t="s">
        <v>26</v>
      </c>
      <c r="O199" s="1" t="s">
        <v>27</v>
      </c>
      <c r="P199" s="1" t="s">
        <v>26</v>
      </c>
      <c r="Q199" s="1" t="s">
        <v>26</v>
      </c>
    </row>
    <row r="200" spans="1:17" ht="16.5" customHeight="1" x14ac:dyDescent="0.25">
      <c r="A200" s="1" t="s">
        <v>141</v>
      </c>
      <c r="B200" s="1" t="s">
        <v>426</v>
      </c>
      <c r="C200" s="1" t="s">
        <v>427</v>
      </c>
      <c r="D200" s="44"/>
      <c r="E200" s="5" t="s">
        <v>428</v>
      </c>
      <c r="F200" s="1" t="s">
        <v>24</v>
      </c>
      <c r="G200" s="1" t="s">
        <v>24</v>
      </c>
      <c r="H200" s="26">
        <v>20</v>
      </c>
      <c r="I200" s="27" t="str">
        <f>HYPERLINK("https://doc.morningstar.com/Document/b64761750a99bb0e84f8121f1609c30c.msdoc?clientid=fnz&amp;key=9c0e4d166b60ffd3","TMD")</f>
        <v>TMD</v>
      </c>
      <c r="J200" t="s">
        <v>62</v>
      </c>
      <c r="K200" s="1" t="s">
        <v>25</v>
      </c>
      <c r="L200" s="1" t="s">
        <v>25</v>
      </c>
      <c r="M200" s="1" t="s">
        <v>25</v>
      </c>
      <c r="N200" s="1" t="s">
        <v>26</v>
      </c>
      <c r="O200" s="1" t="s">
        <v>26</v>
      </c>
      <c r="P200" s="1" t="s">
        <v>27</v>
      </c>
      <c r="Q200" s="1" t="s">
        <v>26</v>
      </c>
    </row>
    <row r="201" spans="1:17" ht="16.5" customHeight="1" x14ac:dyDescent="0.25">
      <c r="A201" s="1" t="s">
        <v>58</v>
      </c>
      <c r="B201" s="1" t="s">
        <v>429</v>
      </c>
      <c r="C201" s="1" t="s">
        <v>430</v>
      </c>
      <c r="D201" s="44"/>
      <c r="E201" s="1" t="s">
        <v>61</v>
      </c>
      <c r="F201" s="1" t="s">
        <v>24</v>
      </c>
      <c r="G201" s="1" t="s">
        <v>24</v>
      </c>
      <c r="H201" s="26">
        <v>100</v>
      </c>
      <c r="I201" s="27" t="str">
        <f>HYPERLINK("https://doc.morningstar.com/Document/dfa67775605102246a65d9058a87320a.msdoc?clientid=fnz&amp;key=9c0e4d166b60ffd3","TMD")</f>
        <v>TMD</v>
      </c>
      <c r="J201" t="s">
        <v>25</v>
      </c>
      <c r="K201" s="1" t="s">
        <v>25</v>
      </c>
      <c r="L201" s="1" t="s">
        <v>25</v>
      </c>
      <c r="M201" s="1" t="s">
        <v>25</v>
      </c>
      <c r="N201" s="1" t="s">
        <v>26</v>
      </c>
      <c r="O201" s="1" t="s">
        <v>26</v>
      </c>
      <c r="P201" s="1" t="s">
        <v>27</v>
      </c>
      <c r="Q201" s="1" t="s">
        <v>27</v>
      </c>
    </row>
    <row r="202" spans="1:17" ht="16.5" customHeight="1" x14ac:dyDescent="0.25">
      <c r="A202" s="1" t="s">
        <v>58</v>
      </c>
      <c r="B202" s="1" t="s">
        <v>431</v>
      </c>
      <c r="C202" s="1" t="s">
        <v>432</v>
      </c>
      <c r="D202" s="44"/>
      <c r="E202" s="1" t="s">
        <v>61</v>
      </c>
      <c r="F202" s="1" t="s">
        <v>24</v>
      </c>
      <c r="G202" s="1" t="s">
        <v>24</v>
      </c>
      <c r="H202" s="26">
        <v>100</v>
      </c>
      <c r="I202" s="27" t="str">
        <f>HYPERLINK("https://doc.morningstar.com/Document/6a43bc34924c7fc320afdfd80e3dc8fc.msdoc?clientid=fnz&amp;key=9c0e4d166b60ffd3","TMD")</f>
        <v>TMD</v>
      </c>
      <c r="J202" t="s">
        <v>25</v>
      </c>
      <c r="K202" s="1" t="s">
        <v>25</v>
      </c>
      <c r="L202" s="1" t="s">
        <v>25</v>
      </c>
      <c r="M202" s="1" t="s">
        <v>25</v>
      </c>
      <c r="N202" s="1" t="s">
        <v>26</v>
      </c>
      <c r="O202" s="1" t="s">
        <v>26</v>
      </c>
      <c r="P202" s="1" t="s">
        <v>27</v>
      </c>
      <c r="Q202" s="1" t="s">
        <v>27</v>
      </c>
    </row>
    <row r="203" spans="1:17" ht="16.5" customHeight="1" x14ac:dyDescent="0.25">
      <c r="A203" s="1" t="s">
        <v>225</v>
      </c>
      <c r="B203" s="1" t="s">
        <v>433</v>
      </c>
      <c r="C203" s="1" t="s">
        <v>434</v>
      </c>
      <c r="D203" s="44"/>
      <c r="E203" s="1" t="s">
        <v>61</v>
      </c>
      <c r="F203" s="1" t="s">
        <v>24</v>
      </c>
      <c r="G203" s="1" t="s">
        <v>24</v>
      </c>
      <c r="H203" s="26">
        <v>30</v>
      </c>
      <c r="I203" s="27" t="str">
        <f>HYPERLINK("https://doc.morningstar.com/Document/7c5f934d29e07af99b7d611095ca5ac0.msdoc?clientid=fnz&amp;key=9c0e4d166b60ffd3","TMD")</f>
        <v>TMD</v>
      </c>
      <c r="J203" t="s">
        <v>25</v>
      </c>
      <c r="K203" s="1" t="s">
        <v>25</v>
      </c>
      <c r="L203" s="1" t="s">
        <v>25</v>
      </c>
      <c r="M203" s="1" t="s">
        <v>25</v>
      </c>
      <c r="N203" s="1" t="s">
        <v>26</v>
      </c>
      <c r="O203" s="1" t="s">
        <v>26</v>
      </c>
      <c r="P203" s="1" t="s">
        <v>27</v>
      </c>
      <c r="Q203" s="1" t="s">
        <v>27</v>
      </c>
    </row>
    <row r="204" spans="1:17" ht="16.5" customHeight="1" x14ac:dyDescent="0.25">
      <c r="A204" s="1" t="s">
        <v>225</v>
      </c>
      <c r="B204" s="1" t="s">
        <v>435</v>
      </c>
      <c r="C204" s="1" t="s">
        <v>436</v>
      </c>
      <c r="D204" s="44"/>
      <c r="E204" s="1" t="s">
        <v>61</v>
      </c>
      <c r="F204" s="1" t="s">
        <v>24</v>
      </c>
      <c r="G204" s="1" t="s">
        <v>24</v>
      </c>
      <c r="H204" s="26">
        <v>30</v>
      </c>
      <c r="I204" s="27" t="str">
        <f>HYPERLINK("https://doc.morningstar.com/Document/19b2712e2a2d08d23d3e2d23fccb9e74.msdoc?clientid=fnz&amp;key=9c0e4d166b60ffd3","TMD")</f>
        <v>TMD</v>
      </c>
      <c r="J204" t="s">
        <v>25</v>
      </c>
      <c r="K204" s="1" t="s">
        <v>25</v>
      </c>
      <c r="L204" s="1" t="s">
        <v>25</v>
      </c>
      <c r="M204" s="1" t="s">
        <v>25</v>
      </c>
      <c r="N204" s="1" t="s">
        <v>26</v>
      </c>
      <c r="O204" s="1" t="s">
        <v>26</v>
      </c>
      <c r="P204" s="1" t="s">
        <v>27</v>
      </c>
      <c r="Q204" s="1" t="s">
        <v>27</v>
      </c>
    </row>
    <row r="205" spans="1:17" ht="16.5" customHeight="1" x14ac:dyDescent="0.25">
      <c r="A205" s="1" t="s">
        <v>225</v>
      </c>
      <c r="B205" s="1" t="s">
        <v>437</v>
      </c>
      <c r="C205" s="1" t="s">
        <v>438</v>
      </c>
      <c r="D205" s="44"/>
      <c r="E205" s="1" t="s">
        <v>61</v>
      </c>
      <c r="F205" s="1" t="s">
        <v>24</v>
      </c>
      <c r="G205" s="1" t="s">
        <v>24</v>
      </c>
      <c r="H205" s="26">
        <v>30</v>
      </c>
      <c r="I205" s="27" t="str">
        <f>HYPERLINK("https://doc.morningstar.com/Document/09a082f25a2df9b33d6e1e74a44e78e2.msdoc?clientid=fnz&amp;key=9c0e4d166b60ffd3","TMD")</f>
        <v>TMD</v>
      </c>
      <c r="J205" t="s">
        <v>25</v>
      </c>
      <c r="K205" s="1" t="s">
        <v>25</v>
      </c>
      <c r="L205" s="1" t="s">
        <v>25</v>
      </c>
      <c r="M205" s="1" t="s">
        <v>25</v>
      </c>
      <c r="N205" s="1" t="s">
        <v>26</v>
      </c>
      <c r="O205" s="1" t="s">
        <v>26</v>
      </c>
      <c r="P205" s="1" t="s">
        <v>27</v>
      </c>
      <c r="Q205" s="1" t="s">
        <v>27</v>
      </c>
    </row>
    <row r="206" spans="1:17" ht="16.5" customHeight="1" x14ac:dyDescent="0.25">
      <c r="A206" s="1" t="s">
        <v>28</v>
      </c>
      <c r="B206" s="1" t="s">
        <v>439</v>
      </c>
      <c r="C206" s="1" t="s">
        <v>440</v>
      </c>
      <c r="D206" s="44"/>
      <c r="E206" s="1" t="s">
        <v>61</v>
      </c>
      <c r="F206" s="1" t="s">
        <v>195</v>
      </c>
      <c r="G206" s="1" t="s">
        <v>24</v>
      </c>
      <c r="H206" s="26">
        <v>30</v>
      </c>
      <c r="I206" s="27" t="str">
        <f>HYPERLINK("https://doc.morningstar.com/Document/6723635219395c59976066c5cb7e4b37.msdoc?clientid=fnz&amp;key=9c0e4d166b60ffd3","TMD")</f>
        <v>TMD</v>
      </c>
      <c r="J206" t="s">
        <v>25</v>
      </c>
      <c r="K206" s="1" t="s">
        <v>26</v>
      </c>
      <c r="L206" s="1" t="s">
        <v>27</v>
      </c>
      <c r="M206" s="1" t="s">
        <v>27</v>
      </c>
      <c r="N206" s="1" t="s">
        <v>26</v>
      </c>
      <c r="O206" s="1" t="s">
        <v>27</v>
      </c>
      <c r="P206" s="1" t="s">
        <v>216</v>
      </c>
      <c r="Q206" s="1" t="s">
        <v>216</v>
      </c>
    </row>
    <row r="207" spans="1:17" ht="16.5" customHeight="1" x14ac:dyDescent="0.25">
      <c r="A207" s="1" t="s">
        <v>274</v>
      </c>
      <c r="B207" s="1" t="s">
        <v>441</v>
      </c>
      <c r="C207" s="1" t="s">
        <v>442</v>
      </c>
      <c r="D207" s="44"/>
      <c r="E207" s="1" t="s">
        <v>61</v>
      </c>
      <c r="F207" s="1" t="s">
        <v>24</v>
      </c>
      <c r="G207" s="1" t="s">
        <v>24</v>
      </c>
      <c r="H207" s="26">
        <v>100</v>
      </c>
      <c r="I207" s="27" t="str">
        <f>HYPERLINK("https://doc.morningstar.com/Document/d5cf66e263ff7f6db1184234ca035c39.msdoc?clientid=fnz&amp;key=9c0e4d166b60ffd3","TMD")</f>
        <v>TMD</v>
      </c>
      <c r="J207" t="s">
        <v>25</v>
      </c>
      <c r="K207" s="1" t="s">
        <v>25</v>
      </c>
      <c r="L207" s="1" t="s">
        <v>25</v>
      </c>
      <c r="M207" s="1" t="s">
        <v>25</v>
      </c>
      <c r="N207" s="1" t="s">
        <v>26</v>
      </c>
      <c r="O207" s="1" t="s">
        <v>27</v>
      </c>
      <c r="P207" s="1" t="s">
        <v>27</v>
      </c>
      <c r="Q207" s="1" t="s">
        <v>26</v>
      </c>
    </row>
    <row r="208" spans="1:17" ht="16.5" customHeight="1" x14ac:dyDescent="0.25">
      <c r="A208" s="1" t="s">
        <v>184</v>
      </c>
      <c r="B208" s="1" t="s">
        <v>443</v>
      </c>
      <c r="C208" s="1" t="s">
        <v>444</v>
      </c>
      <c r="D208" s="44"/>
      <c r="E208" s="1" t="s">
        <v>40</v>
      </c>
      <c r="F208" s="1" t="s">
        <v>24</v>
      </c>
      <c r="G208" s="1" t="s">
        <v>24</v>
      </c>
      <c r="H208" s="26">
        <v>100</v>
      </c>
      <c r="I208" s="27" t="str">
        <f>HYPERLINK("https://doc.morningstar.com/Document/2c13bbdf608251b3ad87de16550edc2a.msdoc?clientid=fnz&amp;key=9c0e4d166b60ffd3","TMD")</f>
        <v>TMD</v>
      </c>
      <c r="J208" t="s">
        <v>25</v>
      </c>
      <c r="K208" s="1" t="s">
        <v>25</v>
      </c>
      <c r="L208" s="1" t="s">
        <v>25</v>
      </c>
      <c r="M208" s="1" t="s">
        <v>25</v>
      </c>
      <c r="N208" s="1" t="s">
        <v>26</v>
      </c>
      <c r="O208" s="1" t="s">
        <v>27</v>
      </c>
      <c r="P208" s="1" t="s">
        <v>27</v>
      </c>
      <c r="Q208" s="1" t="s">
        <v>26</v>
      </c>
    </row>
    <row r="209" spans="1:17" ht="16.5" customHeight="1" x14ac:dyDescent="0.25">
      <c r="A209" s="1" t="s">
        <v>52</v>
      </c>
      <c r="B209" s="1" t="s">
        <v>445</v>
      </c>
      <c r="C209" s="1" t="s">
        <v>446</v>
      </c>
      <c r="D209" s="44"/>
      <c r="E209" s="1" t="s">
        <v>40</v>
      </c>
      <c r="F209" s="1" t="s">
        <v>24</v>
      </c>
      <c r="G209" s="1" t="s">
        <v>24</v>
      </c>
      <c r="H209" s="26">
        <v>100</v>
      </c>
      <c r="I209" s="27" t="str">
        <f>HYPERLINK("https://doc.morningstar.com/Document/baed76a68265d1b65eb7f410340de2c1.msdoc?clientid=fnz&amp;key=9c0e4d166b60ffd3","TMD")</f>
        <v>TMD</v>
      </c>
      <c r="J209" t="s">
        <v>25</v>
      </c>
      <c r="K209" s="1" t="s">
        <v>25</v>
      </c>
      <c r="L209" s="1" t="s">
        <v>25</v>
      </c>
      <c r="M209" s="1" t="s">
        <v>25</v>
      </c>
      <c r="N209" s="1" t="s">
        <v>26</v>
      </c>
      <c r="O209" s="1" t="s">
        <v>27</v>
      </c>
      <c r="P209" s="1" t="s">
        <v>26</v>
      </c>
      <c r="Q209" s="1" t="s">
        <v>26</v>
      </c>
    </row>
    <row r="210" spans="1:17" ht="16.5" customHeight="1" x14ac:dyDescent="0.25">
      <c r="A210" s="1" t="s">
        <v>28</v>
      </c>
      <c r="B210" s="1" t="s">
        <v>447</v>
      </c>
      <c r="C210" s="1" t="s">
        <v>448</v>
      </c>
      <c r="D210" s="44"/>
      <c r="E210" s="1" t="s">
        <v>61</v>
      </c>
      <c r="F210" s="1" t="s">
        <v>24</v>
      </c>
      <c r="G210" s="1" t="s">
        <v>24</v>
      </c>
      <c r="H210" s="26">
        <v>30</v>
      </c>
      <c r="I210" s="27" t="str">
        <f>HYPERLINK("https://doc.morningstar.com/Document/5972ead27e5d2907db96c628b6a96eae.msdoc?clientid=fnz&amp;key=9c0e4d166b60ffd3","TMD")</f>
        <v>TMD</v>
      </c>
      <c r="J210" t="s">
        <v>25</v>
      </c>
      <c r="K210" s="1" t="s">
        <v>25</v>
      </c>
      <c r="L210" s="1" t="s">
        <v>25</v>
      </c>
      <c r="M210" s="1" t="s">
        <v>25</v>
      </c>
      <c r="N210" s="1" t="s">
        <v>26</v>
      </c>
      <c r="O210" s="1" t="s">
        <v>26</v>
      </c>
      <c r="P210" s="1" t="s">
        <v>27</v>
      </c>
      <c r="Q210" s="1" t="s">
        <v>27</v>
      </c>
    </row>
    <row r="211" spans="1:17" ht="16.5" customHeight="1" x14ac:dyDescent="0.25">
      <c r="A211" s="1" t="s">
        <v>184</v>
      </c>
      <c r="B211" s="1" t="s">
        <v>449</v>
      </c>
      <c r="C211" s="1" t="s">
        <v>450</v>
      </c>
      <c r="D211" s="44"/>
      <c r="E211" s="1" t="s">
        <v>40</v>
      </c>
      <c r="F211" s="1" t="s">
        <v>24</v>
      </c>
      <c r="G211" s="1" t="s">
        <v>24</v>
      </c>
      <c r="H211" s="26">
        <v>100</v>
      </c>
      <c r="I211" s="27" t="str">
        <f>HYPERLINK("https://doc.morningstar.com/Document/ac4146be37f2dafe89c0d2e09cf9b16b.msdoc?clientid=fnz&amp;key=9c0e4d166b60ffd3","TMD")</f>
        <v>TMD</v>
      </c>
      <c r="J211" t="s">
        <v>25</v>
      </c>
      <c r="K211" s="1" t="s">
        <v>25</v>
      </c>
      <c r="L211" s="1" t="s">
        <v>25</v>
      </c>
      <c r="M211" s="1" t="s">
        <v>25</v>
      </c>
      <c r="N211" s="1" t="s">
        <v>26</v>
      </c>
      <c r="O211" s="1" t="s">
        <v>27</v>
      </c>
      <c r="P211" s="1" t="s">
        <v>27</v>
      </c>
      <c r="Q211" s="1" t="s">
        <v>26</v>
      </c>
    </row>
    <row r="212" spans="1:17" ht="16.5" customHeight="1" x14ac:dyDescent="0.25">
      <c r="A212" s="1" t="s">
        <v>52</v>
      </c>
      <c r="B212" s="1" t="s">
        <v>451</v>
      </c>
      <c r="C212" s="1" t="s">
        <v>452</v>
      </c>
      <c r="D212" s="44"/>
      <c r="E212" s="1" t="s">
        <v>40</v>
      </c>
      <c r="F212" s="1" t="s">
        <v>24</v>
      </c>
      <c r="G212" s="1" t="s">
        <v>24</v>
      </c>
      <c r="H212" s="26">
        <v>100</v>
      </c>
      <c r="I212" s="27" t="str">
        <f>HYPERLINK("https://doc.morningstar.com/Document/e9388740a055541151a3caf61a941a1b.msdoc?clientid=fnz&amp;key=9c0e4d166b60ffd3","TMD")</f>
        <v>TMD</v>
      </c>
      <c r="J212" t="s">
        <v>25</v>
      </c>
      <c r="K212" s="1" t="s">
        <v>25</v>
      </c>
      <c r="L212" s="1" t="s">
        <v>25</v>
      </c>
      <c r="M212" s="1" t="s">
        <v>25</v>
      </c>
      <c r="N212" s="1" t="s">
        <v>26</v>
      </c>
      <c r="O212" s="1" t="s">
        <v>27</v>
      </c>
      <c r="P212" s="1" t="s">
        <v>27</v>
      </c>
      <c r="Q212" s="1" t="s">
        <v>26</v>
      </c>
    </row>
    <row r="213" spans="1:17" ht="16.5" customHeight="1" x14ac:dyDescent="0.25">
      <c r="A213" s="1" t="s">
        <v>34</v>
      </c>
      <c r="B213" s="1" t="s">
        <v>453</v>
      </c>
      <c r="C213" s="1" t="s">
        <v>454</v>
      </c>
      <c r="D213" s="44"/>
      <c r="E213" s="1" t="s">
        <v>23</v>
      </c>
      <c r="F213" s="1" t="s">
        <v>24</v>
      </c>
      <c r="G213" s="1" t="s">
        <v>24</v>
      </c>
      <c r="H213" s="26">
        <v>30</v>
      </c>
      <c r="I213" s="27" t="str">
        <f>HYPERLINK("https://doc.morningstar.com/Document/30ad9b0423a612eb347a2e8d06950be3.msdoc?clientid=fnz&amp;key=9c0e4d166b60ffd3","TMD")</f>
        <v>TMD</v>
      </c>
      <c r="J213" t="s">
        <v>25</v>
      </c>
      <c r="K213" s="1" t="s">
        <v>25</v>
      </c>
      <c r="L213" s="1" t="s">
        <v>25</v>
      </c>
      <c r="M213" s="1" t="s">
        <v>25</v>
      </c>
      <c r="N213" s="1" t="s">
        <v>26</v>
      </c>
      <c r="O213" s="1" t="s">
        <v>26</v>
      </c>
      <c r="P213" s="1" t="s">
        <v>27</v>
      </c>
      <c r="Q213" s="1" t="s">
        <v>27</v>
      </c>
    </row>
    <row r="214" spans="1:17" ht="16.5" customHeight="1" x14ac:dyDescent="0.25">
      <c r="A214" s="1" t="s">
        <v>58</v>
      </c>
      <c r="B214" s="1" t="s">
        <v>455</v>
      </c>
      <c r="C214" s="1" t="s">
        <v>456</v>
      </c>
      <c r="D214" s="44"/>
      <c r="E214" s="1" t="s">
        <v>61</v>
      </c>
      <c r="F214" s="1" t="s">
        <v>24</v>
      </c>
      <c r="G214" s="1" t="s">
        <v>24</v>
      </c>
      <c r="H214" s="26">
        <v>100</v>
      </c>
      <c r="I214" s="27" t="str">
        <f>HYPERLINK("https://doc.morningstar.com/Document/4be56660d3d727dde38f1792acd82621.msdoc?clientid=fnz&amp;key=9c0e4d166b60ffd3","TMD")</f>
        <v>TMD</v>
      </c>
      <c r="J214" t="s">
        <v>25</v>
      </c>
      <c r="K214" s="1" t="s">
        <v>25</v>
      </c>
      <c r="L214" s="1" t="s">
        <v>25</v>
      </c>
      <c r="M214" s="1" t="s">
        <v>25</v>
      </c>
      <c r="N214" s="1" t="s">
        <v>26</v>
      </c>
      <c r="O214" s="1" t="s">
        <v>26</v>
      </c>
      <c r="P214" s="1" t="s">
        <v>27</v>
      </c>
      <c r="Q214" s="1" t="s">
        <v>27</v>
      </c>
    </row>
    <row r="215" spans="1:17" ht="16.5" customHeight="1" x14ac:dyDescent="0.25">
      <c r="A215" s="1" t="s">
        <v>141</v>
      </c>
      <c r="B215" s="1" t="s">
        <v>457</v>
      </c>
      <c r="C215" s="1" t="s">
        <v>458</v>
      </c>
      <c r="D215" s="44"/>
      <c r="E215" s="1" t="s">
        <v>23</v>
      </c>
      <c r="F215" s="1" t="s">
        <v>24</v>
      </c>
      <c r="G215" s="1" t="s">
        <v>24</v>
      </c>
      <c r="H215" s="26">
        <v>20</v>
      </c>
      <c r="I215" s="27" t="str">
        <f>HYPERLINK("https://doc.morningstar.com/Document/d967111155cbab7e71d2911d61432748.msdoc?clientid=fnz&amp;key=9c0e4d166b60ffd3","TMD")</f>
        <v>TMD</v>
      </c>
      <c r="J215" t="s">
        <v>62</v>
      </c>
      <c r="K215" s="1" t="s">
        <v>25</v>
      </c>
      <c r="L215" s="1" t="s">
        <v>25</v>
      </c>
      <c r="M215" s="1" t="s">
        <v>25</v>
      </c>
      <c r="N215" s="1" t="s">
        <v>26</v>
      </c>
      <c r="O215" s="1" t="s">
        <v>26</v>
      </c>
      <c r="P215" s="1" t="s">
        <v>27</v>
      </c>
      <c r="Q215" s="1" t="s">
        <v>26</v>
      </c>
    </row>
    <row r="216" spans="1:17" ht="16.5" customHeight="1" x14ac:dyDescent="0.25">
      <c r="A216" s="1" t="s">
        <v>141</v>
      </c>
      <c r="B216" s="1" t="s">
        <v>459</v>
      </c>
      <c r="C216" s="1" t="s">
        <v>460</v>
      </c>
      <c r="D216" s="44"/>
      <c r="E216" s="1" t="s">
        <v>61</v>
      </c>
      <c r="F216" s="1" t="s">
        <v>24</v>
      </c>
      <c r="G216" s="1" t="s">
        <v>24</v>
      </c>
      <c r="H216" s="26">
        <v>20</v>
      </c>
      <c r="I216" s="27" t="str">
        <f>HYPERLINK("https://doc.morningstar.com/Document/ee685b2a3398c248a32c304b80c73aaa.msdoc?clientid=fnz&amp;key=9c0e4d166b60ffd3","TMD")</f>
        <v>TMD</v>
      </c>
      <c r="J216" t="s">
        <v>62</v>
      </c>
      <c r="K216" s="1" t="s">
        <v>25</v>
      </c>
      <c r="L216" s="1" t="s">
        <v>25</v>
      </c>
      <c r="M216" s="1" t="s">
        <v>25</v>
      </c>
      <c r="N216" s="1" t="s">
        <v>26</v>
      </c>
      <c r="O216" s="1" t="s">
        <v>26</v>
      </c>
      <c r="P216" s="1" t="s">
        <v>27</v>
      </c>
      <c r="Q216" s="1" t="s">
        <v>27</v>
      </c>
    </row>
    <row r="217" spans="1:17" ht="16.5" customHeight="1" x14ac:dyDescent="0.25">
      <c r="A217" s="1" t="s">
        <v>34</v>
      </c>
      <c r="B217" s="1" t="s">
        <v>461</v>
      </c>
      <c r="C217" s="1" t="s">
        <v>462</v>
      </c>
      <c r="D217" s="44"/>
      <c r="E217" s="1" t="s">
        <v>23</v>
      </c>
      <c r="F217" s="1" t="s">
        <v>24</v>
      </c>
      <c r="G217" s="1" t="s">
        <v>24</v>
      </c>
      <c r="H217" s="26">
        <v>30</v>
      </c>
      <c r="I217" s="27" t="str">
        <f>HYPERLINK("https://doc.morningstar.com/Document/f06a8b2f8ecaafdf0d672b27b7a89793.msdoc?clientid=fnz&amp;key=9c0e4d166b60ffd3","TMD")</f>
        <v>TMD</v>
      </c>
      <c r="J217" t="s">
        <v>25</v>
      </c>
      <c r="K217" s="1" t="s">
        <v>25</v>
      </c>
      <c r="L217" s="1" t="s">
        <v>25</v>
      </c>
      <c r="M217" s="1" t="s">
        <v>25</v>
      </c>
      <c r="N217" s="1" t="s">
        <v>26</v>
      </c>
      <c r="O217" s="1" t="s">
        <v>26</v>
      </c>
      <c r="P217" s="1" t="s">
        <v>27</v>
      </c>
      <c r="Q217" s="1" t="s">
        <v>27</v>
      </c>
    </row>
    <row r="218" spans="1:17" ht="16.5" customHeight="1" x14ac:dyDescent="0.25">
      <c r="A218" s="1" t="s">
        <v>28</v>
      </c>
      <c r="B218" s="1" t="s">
        <v>463</v>
      </c>
      <c r="C218" s="1" t="s">
        <v>464</v>
      </c>
      <c r="D218" s="44"/>
      <c r="E218" s="1" t="s">
        <v>23</v>
      </c>
      <c r="F218" s="1" t="s">
        <v>24</v>
      </c>
      <c r="G218" s="1" t="s">
        <v>24</v>
      </c>
      <c r="H218" s="26">
        <v>30</v>
      </c>
      <c r="I218" s="27" t="str">
        <f>HYPERLINK("https://doc.morningstar.com/Document/0f316fe9fa4a8cddb8aae94732173590.msdoc?clientid=fnz&amp;key=9c0e4d166b60ffd3","TMD")</f>
        <v>TMD</v>
      </c>
      <c r="J218" t="s">
        <v>25</v>
      </c>
      <c r="K218" s="1" t="s">
        <v>25</v>
      </c>
      <c r="L218" s="1" t="s">
        <v>25</v>
      </c>
      <c r="M218" s="1" t="s">
        <v>25</v>
      </c>
      <c r="N218" s="1" t="s">
        <v>26</v>
      </c>
      <c r="O218" s="1" t="s">
        <v>26</v>
      </c>
      <c r="P218" s="1" t="s">
        <v>27</v>
      </c>
      <c r="Q218" s="1" t="s">
        <v>27</v>
      </c>
    </row>
    <row r="219" spans="1:17" ht="16.5" customHeight="1" x14ac:dyDescent="0.25">
      <c r="A219" s="1" t="s">
        <v>28</v>
      </c>
      <c r="B219" s="1" t="s">
        <v>465</v>
      </c>
      <c r="C219" s="1" t="s">
        <v>466</v>
      </c>
      <c r="D219" s="44"/>
      <c r="E219" s="1" t="s">
        <v>23</v>
      </c>
      <c r="F219" s="1" t="s">
        <v>24</v>
      </c>
      <c r="G219" s="1" t="s">
        <v>24</v>
      </c>
      <c r="H219" s="26">
        <v>30</v>
      </c>
      <c r="I219" s="27" t="str">
        <f>HYPERLINK("https://doc.morningstar.com/Document/a62f799064d0aba3c27e8ed2e30022fb.msdoc?clientid=fnz&amp;key=9c0e4d166b60ffd3","TMD")</f>
        <v>TMD</v>
      </c>
      <c r="J219" t="s">
        <v>25</v>
      </c>
      <c r="K219" s="1" t="s">
        <v>25</v>
      </c>
      <c r="L219" s="1" t="s">
        <v>25</v>
      </c>
      <c r="M219" s="1" t="s">
        <v>25</v>
      </c>
      <c r="N219" s="1" t="s">
        <v>26</v>
      </c>
      <c r="O219" s="1" t="s">
        <v>27</v>
      </c>
      <c r="P219" s="1" t="s">
        <v>27</v>
      </c>
      <c r="Q219" s="1" t="s">
        <v>26</v>
      </c>
    </row>
    <row r="220" spans="1:17" ht="16.5" customHeight="1" x14ac:dyDescent="0.25">
      <c r="A220" s="1" t="s">
        <v>58</v>
      </c>
      <c r="B220" s="1" t="s">
        <v>467</v>
      </c>
      <c r="C220" s="1" t="s">
        <v>468</v>
      </c>
      <c r="D220" s="44"/>
      <c r="E220" s="1" t="s">
        <v>61</v>
      </c>
      <c r="F220" s="1" t="s">
        <v>24</v>
      </c>
      <c r="G220" s="1" t="s">
        <v>24</v>
      </c>
      <c r="H220" s="26">
        <v>100</v>
      </c>
      <c r="I220" s="27" t="str">
        <f>HYPERLINK("https://doc.morningstar.com/Document/9bd669ed9ff87343c5711c5ae67edbbf.msdoc?clientid=fnz&amp;key=9c0e4d166b60ffd3","TMD")</f>
        <v>TMD</v>
      </c>
      <c r="J220" t="s">
        <v>25</v>
      </c>
      <c r="K220" s="1" t="s">
        <v>25</v>
      </c>
      <c r="L220" s="1" t="s">
        <v>25</v>
      </c>
      <c r="M220" s="1" t="s">
        <v>25</v>
      </c>
      <c r="N220" s="1" t="s">
        <v>26</v>
      </c>
      <c r="O220" s="1" t="s">
        <v>26</v>
      </c>
      <c r="P220" s="1" t="s">
        <v>26</v>
      </c>
      <c r="Q220" s="1" t="s">
        <v>27</v>
      </c>
    </row>
    <row r="221" spans="1:17" ht="16.5" customHeight="1" x14ac:dyDescent="0.25">
      <c r="A221" s="1" t="s">
        <v>58</v>
      </c>
      <c r="B221" s="1" t="s">
        <v>469</v>
      </c>
      <c r="C221" s="1" t="s">
        <v>470</v>
      </c>
      <c r="D221" s="44"/>
      <c r="E221" s="1" t="s">
        <v>61</v>
      </c>
      <c r="F221" s="1" t="s">
        <v>24</v>
      </c>
      <c r="G221" s="1" t="s">
        <v>24</v>
      </c>
      <c r="H221" s="26">
        <v>100</v>
      </c>
      <c r="I221" s="27" t="str">
        <f>HYPERLINK("https://doc.morningstar.com/Document/8aa169c9f900e36e46a46a7a626dc068.msdoc?clientid=fnz&amp;key=9c0e4d166b60ffd3","TMD")</f>
        <v>TMD</v>
      </c>
      <c r="J221" t="s">
        <v>25</v>
      </c>
      <c r="K221" s="1" t="s">
        <v>25</v>
      </c>
      <c r="L221" s="1" t="s">
        <v>25</v>
      </c>
      <c r="M221" s="1" t="s">
        <v>25</v>
      </c>
      <c r="N221" s="1" t="s">
        <v>26</v>
      </c>
      <c r="O221" s="1" t="s">
        <v>27</v>
      </c>
      <c r="P221" s="1" t="s">
        <v>27</v>
      </c>
      <c r="Q221" s="1" t="s">
        <v>26</v>
      </c>
    </row>
    <row r="222" spans="1:17" ht="16.5" customHeight="1" x14ac:dyDescent="0.25">
      <c r="A222" s="1" t="s">
        <v>58</v>
      </c>
      <c r="B222" s="1" t="s">
        <v>471</v>
      </c>
      <c r="C222" s="1" t="s">
        <v>472</v>
      </c>
      <c r="D222" s="44"/>
      <c r="E222" s="1" t="s">
        <v>61</v>
      </c>
      <c r="F222" s="1" t="s">
        <v>24</v>
      </c>
      <c r="G222" s="1" t="s">
        <v>24</v>
      </c>
      <c r="H222" s="26">
        <v>100</v>
      </c>
      <c r="I222" s="27" t="str">
        <f>HYPERLINK("https://doc.morningstar.com/Document/67ddd4d7a5807633baa9da2b06726f9a.msdoc?clientid=fnz&amp;key=9c0e4d166b60ffd3","TMD")</f>
        <v>TMD</v>
      </c>
      <c r="J222" t="s">
        <v>62</v>
      </c>
      <c r="K222" s="1" t="s">
        <v>25</v>
      </c>
      <c r="L222" s="1" t="s">
        <v>25</v>
      </c>
      <c r="M222" s="1" t="s">
        <v>25</v>
      </c>
      <c r="N222" s="1" t="s">
        <v>26</v>
      </c>
      <c r="O222" s="1" t="s">
        <v>26</v>
      </c>
      <c r="P222" s="1" t="s">
        <v>26</v>
      </c>
      <c r="Q222" s="1" t="s">
        <v>27</v>
      </c>
    </row>
    <row r="223" spans="1:17" ht="16.5" customHeight="1" x14ac:dyDescent="0.25">
      <c r="A223" s="1" t="s">
        <v>37</v>
      </c>
      <c r="B223" s="1" t="s">
        <v>473</v>
      </c>
      <c r="C223" s="1" t="s">
        <v>474</v>
      </c>
      <c r="D223" s="44"/>
      <c r="E223" s="1" t="s">
        <v>61</v>
      </c>
      <c r="F223" s="1" t="s">
        <v>195</v>
      </c>
      <c r="G223" s="1" t="s">
        <v>24</v>
      </c>
      <c r="H223" s="26">
        <v>50</v>
      </c>
      <c r="I223" s="27" t="str">
        <f>HYPERLINK("https://doc.morningstar.com/Document/5e3da9910aae9ac157c12b58b67cd54e.msdoc?clientid=fnz&amp;key=9c0e4d166b60ffd3","TMD")</f>
        <v>TMD</v>
      </c>
      <c r="J223" t="s">
        <v>62</v>
      </c>
      <c r="K223" s="1" t="s">
        <v>26</v>
      </c>
      <c r="L223" s="1" t="s">
        <v>27</v>
      </c>
      <c r="M223" s="1" t="s">
        <v>216</v>
      </c>
      <c r="N223" s="1" t="s">
        <v>26</v>
      </c>
      <c r="O223" s="1" t="s">
        <v>26</v>
      </c>
      <c r="P223" s="1" t="s">
        <v>27</v>
      </c>
      <c r="Q223" s="1" t="s">
        <v>26</v>
      </c>
    </row>
    <row r="224" spans="1:17" ht="16.5" customHeight="1" x14ac:dyDescent="0.25">
      <c r="A224" s="1" t="s">
        <v>34</v>
      </c>
      <c r="B224" s="1" t="s">
        <v>475</v>
      </c>
      <c r="C224" s="1" t="s">
        <v>476</v>
      </c>
      <c r="D224" s="44"/>
      <c r="E224" s="1" t="s">
        <v>23</v>
      </c>
      <c r="F224" s="1" t="s">
        <v>24</v>
      </c>
      <c r="G224" s="1" t="s">
        <v>24</v>
      </c>
      <c r="H224" s="26">
        <v>30</v>
      </c>
      <c r="I224" s="27" t="str">
        <f>HYPERLINK("https://doc.morningstar.com/Document/c181b7ce28c4f5ef45f7e37b71d643c1.msdoc?clientid=fnz&amp;key=9c0e4d166b60ffd3","TMD")</f>
        <v>TMD</v>
      </c>
      <c r="J224" t="s">
        <v>62</v>
      </c>
      <c r="K224" s="1" t="s">
        <v>25</v>
      </c>
      <c r="L224" s="1" t="s">
        <v>27</v>
      </c>
      <c r="M224" s="1" t="s">
        <v>25</v>
      </c>
      <c r="N224" s="1" t="s">
        <v>25</v>
      </c>
      <c r="O224" s="1" t="s">
        <v>25</v>
      </c>
      <c r="P224" s="1" t="s">
        <v>27</v>
      </c>
      <c r="Q224" s="1" t="s">
        <v>25</v>
      </c>
    </row>
    <row r="225" spans="1:17" ht="16.5" customHeight="1" x14ac:dyDescent="0.25">
      <c r="A225" s="1" t="s">
        <v>225</v>
      </c>
      <c r="B225" s="1" t="s">
        <v>477</v>
      </c>
      <c r="C225" s="1" t="s">
        <v>478</v>
      </c>
      <c r="D225" s="44"/>
      <c r="E225" s="1" t="s">
        <v>61</v>
      </c>
      <c r="F225" s="1" t="s">
        <v>24</v>
      </c>
      <c r="G225" s="1" t="s">
        <v>24</v>
      </c>
      <c r="H225" s="26">
        <v>30</v>
      </c>
      <c r="I225" s="27" t="str">
        <f>HYPERLINK("https://doc.morningstar.com/Document/19b2712e2a2d08d26dfed254d5bc5f79.msdoc?clientid=fnz&amp;key=9c0e4d166b60ffd3","TMD")</f>
        <v>TMD</v>
      </c>
      <c r="J225" t="s">
        <v>25</v>
      </c>
      <c r="K225" s="1" t="s">
        <v>25</v>
      </c>
      <c r="L225" s="1" t="s">
        <v>25</v>
      </c>
      <c r="M225" s="1" t="s">
        <v>25</v>
      </c>
      <c r="N225" s="1" t="s">
        <v>26</v>
      </c>
      <c r="O225" s="1" t="s">
        <v>26</v>
      </c>
      <c r="P225" s="1" t="s">
        <v>27</v>
      </c>
      <c r="Q225" s="1" t="s">
        <v>27</v>
      </c>
    </row>
    <row r="226" spans="1:17" ht="16.5" customHeight="1" x14ac:dyDescent="0.25">
      <c r="A226" s="1" t="s">
        <v>52</v>
      </c>
      <c r="B226" s="1" t="s">
        <v>479</v>
      </c>
      <c r="C226" s="1" t="s">
        <v>480</v>
      </c>
      <c r="D226" s="44"/>
      <c r="E226" s="1" t="s">
        <v>45</v>
      </c>
      <c r="F226" s="1" t="s">
        <v>24</v>
      </c>
      <c r="G226" s="1" t="s">
        <v>24</v>
      </c>
      <c r="H226" s="26">
        <v>100</v>
      </c>
      <c r="I226" s="27" t="str">
        <f>HYPERLINK("https://doc.morningstar.com/Document/230adfdef5668aba0d59b38b6d577358.msdoc?clientid=fnz&amp;key=9c0e4d166b60ffd3","TMD")</f>
        <v>TMD</v>
      </c>
      <c r="J226" t="s">
        <v>25</v>
      </c>
      <c r="K226" s="1" t="s">
        <v>25</v>
      </c>
      <c r="L226" s="1" t="s">
        <v>25</v>
      </c>
      <c r="M226" s="1" t="s">
        <v>25</v>
      </c>
      <c r="N226" s="1" t="s">
        <v>26</v>
      </c>
      <c r="O226" s="1" t="s">
        <v>26</v>
      </c>
      <c r="P226" s="1" t="s">
        <v>27</v>
      </c>
      <c r="Q226" s="1" t="s">
        <v>27</v>
      </c>
    </row>
    <row r="227" spans="1:17" ht="16.5" customHeight="1" x14ac:dyDescent="0.25">
      <c r="A227" s="1" t="s">
        <v>141</v>
      </c>
      <c r="B227" s="1" t="s">
        <v>481</v>
      </c>
      <c r="C227" s="1" t="s">
        <v>482</v>
      </c>
      <c r="D227" s="44"/>
      <c r="E227" s="1" t="s">
        <v>45</v>
      </c>
      <c r="F227" s="1" t="s">
        <v>24</v>
      </c>
      <c r="G227" s="1" t="s">
        <v>24</v>
      </c>
      <c r="H227" s="26">
        <v>20</v>
      </c>
      <c r="I227" s="27" t="str">
        <f>HYPERLINK("https://doc.morningstar.com/Document/ce03b87a58b5f404322c6ee53c0bb4f4.msdoc?clientid=fnz&amp;key=9c0e4d166b60ffd3","TMD")</f>
        <v>TMD</v>
      </c>
      <c r="J227" t="s">
        <v>25</v>
      </c>
      <c r="K227" s="1" t="s">
        <v>25</v>
      </c>
      <c r="L227" s="1" t="s">
        <v>25</v>
      </c>
      <c r="M227" s="1" t="s">
        <v>25</v>
      </c>
      <c r="N227" s="1" t="s">
        <v>26</v>
      </c>
      <c r="O227" s="1" t="s">
        <v>27</v>
      </c>
      <c r="P227" s="1" t="s">
        <v>26</v>
      </c>
      <c r="Q227" s="1" t="s">
        <v>26</v>
      </c>
    </row>
    <row r="228" spans="1:17" ht="16.5" customHeight="1" x14ac:dyDescent="0.25">
      <c r="A228" s="1" t="s">
        <v>141</v>
      </c>
      <c r="B228" s="1" t="s">
        <v>483</v>
      </c>
      <c r="C228" s="1" t="s">
        <v>484</v>
      </c>
      <c r="D228" s="44"/>
      <c r="E228" s="1" t="s">
        <v>61</v>
      </c>
      <c r="F228" s="1" t="s">
        <v>24</v>
      </c>
      <c r="G228" s="1" t="s">
        <v>24</v>
      </c>
      <c r="H228" s="26">
        <v>20</v>
      </c>
      <c r="I228" s="27" t="str">
        <f>HYPERLINK("https://doc.morningstar.com/Document/cbef07bda0d5aa5d468008f597cc65f3.msdoc?clientid=fnz&amp;key=9c0e4d166b60ffd3","TMD")</f>
        <v>TMD</v>
      </c>
      <c r="J228" t="s">
        <v>62</v>
      </c>
      <c r="K228" s="1" t="s">
        <v>26</v>
      </c>
      <c r="L228" s="1" t="s">
        <v>27</v>
      </c>
      <c r="M228" s="1" t="s">
        <v>216</v>
      </c>
      <c r="N228" s="1" t="s">
        <v>26</v>
      </c>
      <c r="O228" s="1" t="s">
        <v>26</v>
      </c>
      <c r="P228" s="1" t="s">
        <v>27</v>
      </c>
      <c r="Q228" s="1" t="s">
        <v>27</v>
      </c>
    </row>
    <row r="229" spans="1:17" ht="16.5" customHeight="1" x14ac:dyDescent="0.25">
      <c r="A229" s="1" t="s">
        <v>31</v>
      </c>
      <c r="B229" s="1" t="s">
        <v>485</v>
      </c>
      <c r="C229" s="1" t="s">
        <v>486</v>
      </c>
      <c r="D229" s="44"/>
      <c r="E229" s="1" t="s">
        <v>23</v>
      </c>
      <c r="F229" s="1" t="s">
        <v>24</v>
      </c>
      <c r="G229" s="1" t="s">
        <v>24</v>
      </c>
      <c r="H229" s="26">
        <v>100</v>
      </c>
      <c r="I229" s="27" t="str">
        <f>HYPERLINK("https://doc.morningstar.com/Document/bbeed01207192ff0d6747f069792ff2e.msdoc?clientid=fnz&amp;key=9c0e4d166b60ffd3","TMD")</f>
        <v>TMD</v>
      </c>
      <c r="J229" t="s">
        <v>62</v>
      </c>
      <c r="K229" s="1" t="s">
        <v>26</v>
      </c>
      <c r="L229" s="1" t="s">
        <v>27</v>
      </c>
      <c r="M229" s="1" t="s">
        <v>27</v>
      </c>
      <c r="N229" s="1" t="s">
        <v>26</v>
      </c>
      <c r="O229" s="1" t="s">
        <v>26</v>
      </c>
      <c r="P229" s="1" t="s">
        <v>27</v>
      </c>
      <c r="Q229" s="1" t="s">
        <v>27</v>
      </c>
    </row>
    <row r="230" spans="1:17" ht="16.5" customHeight="1" x14ac:dyDescent="0.25">
      <c r="A230" s="1" t="s">
        <v>34</v>
      </c>
      <c r="B230" s="1" t="s">
        <v>487</v>
      </c>
      <c r="C230" s="1" t="s">
        <v>488</v>
      </c>
      <c r="D230" s="44"/>
      <c r="E230" s="1" t="s">
        <v>61</v>
      </c>
      <c r="F230" s="1" t="s">
        <v>24</v>
      </c>
      <c r="G230" s="1" t="s">
        <v>24</v>
      </c>
      <c r="H230" s="26">
        <v>30</v>
      </c>
      <c r="I230" s="27" t="str">
        <f>HYPERLINK("https://doc.morningstar.com/Document/0964f31e09d1772ccbf24e5ae29f3917.msdoc?clientid=fnz&amp;key=9c0e4d166b60ffd3","TMD")</f>
        <v>TMD</v>
      </c>
      <c r="J230" t="s">
        <v>25</v>
      </c>
      <c r="K230" s="1" t="s">
        <v>25</v>
      </c>
      <c r="L230" s="1" t="s">
        <v>25</v>
      </c>
      <c r="M230" s="1" t="s">
        <v>25</v>
      </c>
      <c r="N230" s="1" t="s">
        <v>26</v>
      </c>
      <c r="O230" s="1" t="s">
        <v>26</v>
      </c>
      <c r="P230" s="1" t="s">
        <v>27</v>
      </c>
      <c r="Q230" s="1" t="s">
        <v>27</v>
      </c>
    </row>
    <row r="231" spans="1:17" ht="16.5" customHeight="1" x14ac:dyDescent="0.25">
      <c r="A231" s="1" t="s">
        <v>58</v>
      </c>
      <c r="B231" s="1" t="s">
        <v>489</v>
      </c>
      <c r="C231" s="1" t="s">
        <v>490</v>
      </c>
      <c r="D231" s="44"/>
      <c r="E231" s="1" t="s">
        <v>61</v>
      </c>
      <c r="F231" s="1" t="s">
        <v>24</v>
      </c>
      <c r="G231" s="1" t="s">
        <v>24</v>
      </c>
      <c r="H231" s="26">
        <v>100</v>
      </c>
      <c r="I231" s="27" t="str">
        <f>HYPERLINK("https://doc.morningstar.com/Document/673de8bcd06c9e0a7ae8421e49551fe7.msdoc?clientid=fnz&amp;key=9c0e4d166b60ffd3","TMD")</f>
        <v>TMD</v>
      </c>
      <c r="J231" t="s">
        <v>25</v>
      </c>
      <c r="K231" s="1" t="s">
        <v>25</v>
      </c>
      <c r="L231" s="1" t="s">
        <v>25</v>
      </c>
      <c r="M231" s="1" t="s">
        <v>25</v>
      </c>
      <c r="N231" s="1" t="s">
        <v>26</v>
      </c>
      <c r="O231" s="1" t="s">
        <v>26</v>
      </c>
      <c r="P231" s="1" t="s">
        <v>27</v>
      </c>
      <c r="Q231" s="1" t="s">
        <v>27</v>
      </c>
    </row>
    <row r="232" spans="1:17" ht="16.5" customHeight="1" x14ac:dyDescent="0.25">
      <c r="A232" s="1" t="s">
        <v>31</v>
      </c>
      <c r="B232" s="1" t="s">
        <v>491</v>
      </c>
      <c r="C232" s="1" t="s">
        <v>492</v>
      </c>
      <c r="D232" s="44"/>
      <c r="E232" s="1" t="s">
        <v>40</v>
      </c>
      <c r="F232" s="1" t="s">
        <v>24</v>
      </c>
      <c r="G232" s="1" t="s">
        <v>24</v>
      </c>
      <c r="H232" s="26">
        <v>100</v>
      </c>
      <c r="I232" s="27" t="str">
        <f>HYPERLINK("https://doc.morningstar.com/Document/ce6438ae3366e5eff0ff5cde11bae51c.msdoc?clientid=fnz&amp;key=9c0e4d166b60ffd3","TMD")</f>
        <v>TMD</v>
      </c>
      <c r="J232" t="s">
        <v>25</v>
      </c>
      <c r="K232" s="1" t="s">
        <v>25</v>
      </c>
      <c r="L232" s="1" t="s">
        <v>25</v>
      </c>
      <c r="M232" s="1" t="s">
        <v>25</v>
      </c>
      <c r="N232" s="1" t="s">
        <v>26</v>
      </c>
      <c r="O232" s="1" t="s">
        <v>26</v>
      </c>
      <c r="P232" s="1" t="s">
        <v>27</v>
      </c>
      <c r="Q232" s="1" t="s">
        <v>27</v>
      </c>
    </row>
    <row r="233" spans="1:17" ht="16.5" customHeight="1" x14ac:dyDescent="0.25">
      <c r="A233" s="1" t="s">
        <v>225</v>
      </c>
      <c r="B233" s="1" t="s">
        <v>493</v>
      </c>
      <c r="C233" s="1" t="s">
        <v>494</v>
      </c>
      <c r="D233" s="44"/>
      <c r="E233" s="1" t="s">
        <v>61</v>
      </c>
      <c r="F233" s="1" t="s">
        <v>24</v>
      </c>
      <c r="G233" s="1" t="s">
        <v>24</v>
      </c>
      <c r="H233" s="26">
        <v>30</v>
      </c>
      <c r="I233" s="27" t="str">
        <f>HYPERLINK("https://doc.morningstar.com/Document/723e0e3c59152f86e5d42aca87b886ef.msdoc?clientid=fnz&amp;key=9c0e4d166b60ffd3","TMD")</f>
        <v>TMD</v>
      </c>
      <c r="J233" t="s">
        <v>25</v>
      </c>
      <c r="K233" s="1" t="s">
        <v>25</v>
      </c>
      <c r="L233" s="1" t="s">
        <v>25</v>
      </c>
      <c r="M233" s="1" t="s">
        <v>25</v>
      </c>
      <c r="N233" s="1" t="s">
        <v>26</v>
      </c>
      <c r="O233" s="1" t="s">
        <v>26</v>
      </c>
      <c r="P233" s="1" t="s">
        <v>27</v>
      </c>
      <c r="Q233" s="1" t="s">
        <v>27</v>
      </c>
    </row>
    <row r="234" spans="1:17" ht="16.5" customHeight="1" x14ac:dyDescent="0.25">
      <c r="A234" s="1" t="s">
        <v>225</v>
      </c>
      <c r="B234" s="1" t="s">
        <v>495</v>
      </c>
      <c r="C234" s="1" t="s">
        <v>496</v>
      </c>
      <c r="D234" s="44"/>
      <c r="E234" s="1" t="s">
        <v>61</v>
      </c>
      <c r="F234" s="1" t="s">
        <v>24</v>
      </c>
      <c r="G234" s="1" t="s">
        <v>24</v>
      </c>
      <c r="H234" s="26">
        <v>30</v>
      </c>
      <c r="I234" s="27" t="str">
        <f>HYPERLINK("https://doc.morningstar.com/Document/d086e662151172a11bae5ed2cab7bb55.msdoc?clientid=fnz&amp;key=9c0e4d166b60ffd3","TMD")</f>
        <v>TMD</v>
      </c>
      <c r="J234" t="s">
        <v>25</v>
      </c>
      <c r="K234" s="1" t="s">
        <v>25</v>
      </c>
      <c r="L234" s="1" t="s">
        <v>25</v>
      </c>
      <c r="M234" s="1" t="s">
        <v>25</v>
      </c>
      <c r="N234" s="1" t="s">
        <v>26</v>
      </c>
      <c r="O234" s="1" t="s">
        <v>26</v>
      </c>
      <c r="P234" s="1" t="s">
        <v>26</v>
      </c>
      <c r="Q234" s="1" t="s">
        <v>27</v>
      </c>
    </row>
    <row r="235" spans="1:17" ht="16.5" customHeight="1" x14ac:dyDescent="0.25">
      <c r="A235" s="1" t="s">
        <v>31</v>
      </c>
      <c r="B235" s="1" t="s">
        <v>497</v>
      </c>
      <c r="C235" s="1" t="s">
        <v>498</v>
      </c>
      <c r="D235" s="44"/>
      <c r="E235" s="1" t="s">
        <v>40</v>
      </c>
      <c r="F235" s="1" t="s">
        <v>24</v>
      </c>
      <c r="G235" s="1" t="s">
        <v>24</v>
      </c>
      <c r="H235" s="26">
        <v>100</v>
      </c>
      <c r="I235" s="27" t="str">
        <f>HYPERLINK("https://doc.morningstar.com/Document/2b6eb25673d93deb7f3191e76adad435.msdoc?clientid=fnz&amp;key=9c0e4d166b60ffd3","TMD")</f>
        <v>TMD</v>
      </c>
      <c r="J235" t="s">
        <v>25</v>
      </c>
      <c r="K235" s="1" t="s">
        <v>25</v>
      </c>
      <c r="L235" s="1" t="s">
        <v>25</v>
      </c>
      <c r="M235" s="1" t="s">
        <v>25</v>
      </c>
      <c r="N235" s="1" t="s">
        <v>26</v>
      </c>
      <c r="O235" s="1" t="s">
        <v>26</v>
      </c>
      <c r="P235" s="1" t="s">
        <v>27</v>
      </c>
      <c r="Q235" s="1" t="s">
        <v>27</v>
      </c>
    </row>
    <row r="236" spans="1:17" ht="16.5" customHeight="1" x14ac:dyDescent="0.25">
      <c r="A236" s="1" t="s">
        <v>34</v>
      </c>
      <c r="B236" s="1" t="s">
        <v>499</v>
      </c>
      <c r="C236" s="1" t="s">
        <v>500</v>
      </c>
      <c r="D236" s="44"/>
      <c r="E236" s="1" t="s">
        <v>40</v>
      </c>
      <c r="F236" s="1" t="s">
        <v>24</v>
      </c>
      <c r="G236" s="1" t="s">
        <v>24</v>
      </c>
      <c r="H236" s="26">
        <v>30</v>
      </c>
      <c r="I236" s="27" t="str">
        <f>HYPERLINK("https://doc.morningstar.com/Document/c10cf379710a18614e613cbf743566c8.msdoc?clientid=fnz&amp;key=9c0e4d166b60ffd3","TMD")</f>
        <v>TMD</v>
      </c>
      <c r="J236" t="s">
        <v>25</v>
      </c>
      <c r="K236" s="1" t="s">
        <v>25</v>
      </c>
      <c r="L236" s="1" t="s">
        <v>25</v>
      </c>
      <c r="M236" s="1" t="s">
        <v>25</v>
      </c>
      <c r="N236" s="1" t="s">
        <v>26</v>
      </c>
      <c r="O236" s="1" t="s">
        <v>26</v>
      </c>
      <c r="P236" s="1" t="s">
        <v>27</v>
      </c>
      <c r="Q236" s="1" t="s">
        <v>27</v>
      </c>
    </row>
    <row r="237" spans="1:17" ht="16.5" customHeight="1" x14ac:dyDescent="0.25">
      <c r="A237" s="1" t="s">
        <v>225</v>
      </c>
      <c r="B237" s="1" t="s">
        <v>501</v>
      </c>
      <c r="C237" s="1" t="s">
        <v>502</v>
      </c>
      <c r="D237" s="44"/>
      <c r="E237" s="1" t="s">
        <v>61</v>
      </c>
      <c r="F237" s="1" t="s">
        <v>24</v>
      </c>
      <c r="G237" s="1" t="s">
        <v>24</v>
      </c>
      <c r="H237" s="26">
        <v>30</v>
      </c>
      <c r="I237" s="27" t="str">
        <f>HYPERLINK("https://doc.morningstar.com/Document/673de8bcd06c9e0af686ff92ccee2097.msdoc?clientid=fnz&amp;key=9c0e4d166b60ffd3","TMD")</f>
        <v>TMD</v>
      </c>
      <c r="J237" t="s">
        <v>25</v>
      </c>
      <c r="K237" s="1" t="s">
        <v>25</v>
      </c>
      <c r="L237" s="1" t="s">
        <v>25</v>
      </c>
      <c r="M237" s="1" t="s">
        <v>25</v>
      </c>
      <c r="N237" s="1" t="s">
        <v>26</v>
      </c>
      <c r="O237" s="1" t="s">
        <v>26</v>
      </c>
      <c r="P237" s="1" t="s">
        <v>27</v>
      </c>
      <c r="Q237" s="1" t="s">
        <v>27</v>
      </c>
    </row>
    <row r="238" spans="1:17" ht="16.5" customHeight="1" x14ac:dyDescent="0.25">
      <c r="A238" s="1" t="s">
        <v>58</v>
      </c>
      <c r="B238" s="1" t="s">
        <v>503</v>
      </c>
      <c r="C238" s="1" t="s">
        <v>504</v>
      </c>
      <c r="D238" s="44"/>
      <c r="E238" s="1" t="s">
        <v>23</v>
      </c>
      <c r="F238" s="1" t="s">
        <v>24</v>
      </c>
      <c r="G238" s="1" t="s">
        <v>24</v>
      </c>
      <c r="H238" s="26">
        <v>100</v>
      </c>
      <c r="I238" s="27" t="str">
        <f>HYPERLINK("https://doc.morningstar.com/Document/e56e84c3fc4da48750947d0f563285c0.msdoc?clientid=fnz&amp;key=9c0e4d166b60ffd3","TMD")</f>
        <v>TMD</v>
      </c>
      <c r="J238" t="s">
        <v>25</v>
      </c>
      <c r="K238" s="1" t="s">
        <v>25</v>
      </c>
      <c r="L238" s="1" t="s">
        <v>25</v>
      </c>
      <c r="M238" s="1" t="s">
        <v>25</v>
      </c>
      <c r="N238" s="1" t="s">
        <v>26</v>
      </c>
      <c r="O238" s="1" t="s">
        <v>26</v>
      </c>
      <c r="P238" s="1" t="s">
        <v>26</v>
      </c>
      <c r="Q238" s="1" t="s">
        <v>27</v>
      </c>
    </row>
    <row r="239" spans="1:17" ht="16.5" customHeight="1" x14ac:dyDescent="0.25">
      <c r="A239" s="1" t="s">
        <v>58</v>
      </c>
      <c r="B239" s="1" t="s">
        <v>505</v>
      </c>
      <c r="C239" s="1" t="s">
        <v>506</v>
      </c>
      <c r="D239" s="44"/>
      <c r="E239" s="1" t="s">
        <v>23</v>
      </c>
      <c r="F239" s="1" t="s">
        <v>195</v>
      </c>
      <c r="G239" s="1" t="s">
        <v>24</v>
      </c>
      <c r="H239" s="26">
        <v>100</v>
      </c>
      <c r="I239" s="27" t="str">
        <f>HYPERLINK("https://doc.morningstar.com/Document/9669fd0f2f063ead2f1a21da11f444ee.msdoc?clientid=fnz&amp;key=9c0e4d166b60ffd3","TMD")</f>
        <v>TMD</v>
      </c>
      <c r="J239" t="s">
        <v>25</v>
      </c>
      <c r="K239" s="1" t="s">
        <v>25</v>
      </c>
      <c r="L239" s="1" t="s">
        <v>25</v>
      </c>
      <c r="M239" s="1" t="s">
        <v>25</v>
      </c>
      <c r="N239" s="1" t="s">
        <v>26</v>
      </c>
      <c r="O239" s="1" t="s">
        <v>26</v>
      </c>
      <c r="P239" s="1" t="s">
        <v>26</v>
      </c>
      <c r="Q239" s="1" t="s">
        <v>27</v>
      </c>
    </row>
    <row r="240" spans="1:17" ht="16.5" customHeight="1" x14ac:dyDescent="0.25">
      <c r="A240" s="1" t="s">
        <v>52</v>
      </c>
      <c r="B240" s="1" t="s">
        <v>507</v>
      </c>
      <c r="C240" s="1" t="s">
        <v>508</v>
      </c>
      <c r="D240" s="44"/>
      <c r="E240" s="1" t="s">
        <v>40</v>
      </c>
      <c r="F240" s="1" t="s">
        <v>24</v>
      </c>
      <c r="G240" s="1" t="s">
        <v>24</v>
      </c>
      <c r="H240" s="26">
        <v>100</v>
      </c>
      <c r="I240" s="27" t="str">
        <f>HYPERLINK("https://doc.morningstar.com/Document/7ea550e707c608d41c4b6493daa9369f.msdoc?clientid=fnz&amp;key=9c0e4d166b60ffd3","TMD")</f>
        <v>TMD</v>
      </c>
      <c r="J240" t="s">
        <v>25</v>
      </c>
      <c r="K240" s="1" t="s">
        <v>25</v>
      </c>
      <c r="L240" s="1" t="s">
        <v>25</v>
      </c>
      <c r="M240" s="1" t="s">
        <v>25</v>
      </c>
      <c r="N240" s="1" t="s">
        <v>26</v>
      </c>
      <c r="O240" s="1" t="s">
        <v>27</v>
      </c>
      <c r="P240" s="1" t="s">
        <v>26</v>
      </c>
      <c r="Q240" s="1" t="s">
        <v>26</v>
      </c>
    </row>
    <row r="241" spans="1:17" ht="16.5" customHeight="1" x14ac:dyDescent="0.25">
      <c r="A241" s="1" t="s">
        <v>281</v>
      </c>
      <c r="B241" s="1" t="s">
        <v>509</v>
      </c>
      <c r="C241" s="1" t="s">
        <v>510</v>
      </c>
      <c r="D241" s="44"/>
      <c r="E241" s="1" t="s">
        <v>45</v>
      </c>
      <c r="F241" s="1" t="s">
        <v>24</v>
      </c>
      <c r="G241" s="1" t="s">
        <v>24</v>
      </c>
      <c r="H241" s="26">
        <v>100</v>
      </c>
      <c r="I241" s="27" t="str">
        <f>HYPERLINK("https://doc.morningstar.com/Document/5ce9e2ceb42ff27dfc829f6b5e4a74b7.msdoc?clientid=fnz&amp;key=9c0e4d166b60ffd3","TMD")</f>
        <v>TMD</v>
      </c>
      <c r="J241" t="s">
        <v>25</v>
      </c>
      <c r="K241" s="1" t="s">
        <v>25</v>
      </c>
      <c r="L241" s="1" t="s">
        <v>25</v>
      </c>
      <c r="M241" s="1" t="s">
        <v>25</v>
      </c>
      <c r="N241" s="1" t="s">
        <v>26</v>
      </c>
      <c r="O241" s="1" t="s">
        <v>27</v>
      </c>
      <c r="P241" s="1" t="s">
        <v>26</v>
      </c>
      <c r="Q241" s="1" t="s">
        <v>26</v>
      </c>
    </row>
    <row r="242" spans="1:17" ht="16.5" customHeight="1" x14ac:dyDescent="0.25">
      <c r="A242" s="1" t="s">
        <v>31</v>
      </c>
      <c r="B242" s="1" t="s">
        <v>511</v>
      </c>
      <c r="C242" s="1" t="s">
        <v>512</v>
      </c>
      <c r="D242" s="44"/>
      <c r="E242" s="1" t="s">
        <v>40</v>
      </c>
      <c r="F242" s="1" t="s">
        <v>24</v>
      </c>
      <c r="G242" s="1" t="s">
        <v>24</v>
      </c>
      <c r="H242" s="26">
        <v>100</v>
      </c>
      <c r="I242" s="27" t="str">
        <f>HYPERLINK("https://doc.morningstar.com/Document/6c4086fe36910bcc41deaf5ca6cc2012.msdoc?clientid=fnz&amp;key=9c0e4d166b60ffd3","TMD")</f>
        <v>TMD</v>
      </c>
      <c r="J242" t="s">
        <v>25</v>
      </c>
      <c r="K242" s="1" t="s">
        <v>25</v>
      </c>
      <c r="L242" s="1" t="s">
        <v>25</v>
      </c>
      <c r="M242" s="1" t="s">
        <v>25</v>
      </c>
      <c r="N242" s="1" t="s">
        <v>26</v>
      </c>
      <c r="O242" s="1" t="s">
        <v>26</v>
      </c>
      <c r="P242" s="1" t="s">
        <v>26</v>
      </c>
      <c r="Q242" s="1" t="s">
        <v>27</v>
      </c>
    </row>
    <row r="243" spans="1:17" ht="16.5" customHeight="1" x14ac:dyDescent="0.25">
      <c r="A243" s="1" t="s">
        <v>31</v>
      </c>
      <c r="B243" s="1" t="s">
        <v>513</v>
      </c>
      <c r="C243" s="1" t="s">
        <v>514</v>
      </c>
      <c r="D243" s="44"/>
      <c r="E243" s="1" t="s">
        <v>40</v>
      </c>
      <c r="F243" s="1" t="s">
        <v>24</v>
      </c>
      <c r="G243" s="1" t="s">
        <v>24</v>
      </c>
      <c r="H243" s="26">
        <v>100</v>
      </c>
      <c r="I243" s="27" t="str">
        <f>HYPERLINK("https://doc.morningstar.com/Document/2ff0ea29cd73481743f34d0a91a97902.msdoc?clientid=fnz&amp;key=9c0e4d166b60ffd3","TMD")</f>
        <v>TMD</v>
      </c>
      <c r="J243" t="s">
        <v>25</v>
      </c>
      <c r="K243" s="1" t="s">
        <v>25</v>
      </c>
      <c r="L243" s="1" t="s">
        <v>25</v>
      </c>
      <c r="M243" s="1" t="s">
        <v>25</v>
      </c>
      <c r="N243" s="1" t="s">
        <v>26</v>
      </c>
      <c r="O243" s="1" t="s">
        <v>26</v>
      </c>
      <c r="P243" s="1" t="s">
        <v>26</v>
      </c>
      <c r="Q243" s="1" t="s">
        <v>27</v>
      </c>
    </row>
    <row r="244" spans="1:17" ht="16.5" customHeight="1" x14ac:dyDescent="0.25">
      <c r="A244" s="1" t="s">
        <v>81</v>
      </c>
      <c r="B244" s="1" t="s">
        <v>515</v>
      </c>
      <c r="C244" s="1" t="s">
        <v>516</v>
      </c>
      <c r="D244" s="44"/>
      <c r="E244" s="1" t="s">
        <v>40</v>
      </c>
      <c r="F244" s="1" t="s">
        <v>24</v>
      </c>
      <c r="G244" s="1" t="s">
        <v>24</v>
      </c>
      <c r="H244" s="26">
        <v>50</v>
      </c>
      <c r="I244" s="27" t="str">
        <f>HYPERLINK("https://doc.morningstar.com/Document/9dc3ec2e9b3ef5b4cdb533c583359ab2.msdoc?clientid=fnz&amp;key=9c0e4d166b60ffd3","TMD")</f>
        <v>TMD</v>
      </c>
      <c r="J244" t="s">
        <v>25</v>
      </c>
      <c r="K244" s="1" t="s">
        <v>25</v>
      </c>
      <c r="L244" s="1" t="s">
        <v>25</v>
      </c>
      <c r="M244" s="1" t="s">
        <v>25</v>
      </c>
      <c r="N244" s="1" t="s">
        <v>26</v>
      </c>
      <c r="O244" s="1" t="s">
        <v>26</v>
      </c>
      <c r="P244" s="1" t="s">
        <v>26</v>
      </c>
      <c r="Q244" s="1" t="s">
        <v>27</v>
      </c>
    </row>
    <row r="245" spans="1:17" ht="16.5" customHeight="1" x14ac:dyDescent="0.25">
      <c r="A245" s="1" t="s">
        <v>109</v>
      </c>
      <c r="B245" s="1" t="s">
        <v>517</v>
      </c>
      <c r="C245" s="1" t="s">
        <v>518</v>
      </c>
      <c r="D245" s="44"/>
      <c r="E245" s="1" t="s">
        <v>40</v>
      </c>
      <c r="F245" s="1" t="s">
        <v>195</v>
      </c>
      <c r="G245" s="1" t="s">
        <v>24</v>
      </c>
      <c r="H245" s="26">
        <v>100</v>
      </c>
      <c r="I245" s="27" t="str">
        <f>HYPERLINK("https://doc.morningstar.com/Document/ae0517c1b99fbb030a6d374eebcdf87c.msdoc?clientid=fnz&amp;key=9c0e4d166b60ffd3","TMD")</f>
        <v>TMD</v>
      </c>
      <c r="J245" t="s">
        <v>25</v>
      </c>
      <c r="K245" s="1" t="s">
        <v>25</v>
      </c>
      <c r="L245" s="1" t="s">
        <v>25</v>
      </c>
      <c r="M245" s="1" t="s">
        <v>25</v>
      </c>
      <c r="N245" s="1" t="s">
        <v>26</v>
      </c>
      <c r="O245" s="1" t="s">
        <v>26</v>
      </c>
      <c r="P245" s="1" t="s">
        <v>27</v>
      </c>
      <c r="Q245" s="1" t="s">
        <v>27</v>
      </c>
    </row>
    <row r="246" spans="1:17" ht="16.5" customHeight="1" x14ac:dyDescent="0.25">
      <c r="A246" s="1" t="s">
        <v>31</v>
      </c>
      <c r="B246" s="1" t="s">
        <v>519</v>
      </c>
      <c r="C246" s="1" t="s">
        <v>520</v>
      </c>
      <c r="D246" s="44"/>
      <c r="E246" s="1" t="s">
        <v>40</v>
      </c>
      <c r="F246" s="1" t="s">
        <v>24</v>
      </c>
      <c r="G246" s="1" t="s">
        <v>24</v>
      </c>
      <c r="H246" s="26">
        <v>100</v>
      </c>
      <c r="I246" s="27" t="str">
        <f>HYPERLINK("https://doc.morningstar.com/Document/3590840b7a4704a48c59f3c87c018fbe.msdoc?clientid=fnz&amp;key=9c0e4d166b60ffd3","TMD")</f>
        <v>TMD</v>
      </c>
      <c r="J246" t="s">
        <v>25</v>
      </c>
      <c r="K246" s="1" t="s">
        <v>25</v>
      </c>
      <c r="L246" s="1" t="s">
        <v>25</v>
      </c>
      <c r="M246" s="1" t="s">
        <v>25</v>
      </c>
      <c r="N246" s="1" t="s">
        <v>26</v>
      </c>
      <c r="O246" s="1" t="s">
        <v>26</v>
      </c>
      <c r="P246" s="1" t="s">
        <v>26</v>
      </c>
      <c r="Q246" s="1" t="s">
        <v>27</v>
      </c>
    </row>
    <row r="247" spans="1:17" ht="16.5" customHeight="1" x14ac:dyDescent="0.25">
      <c r="A247" s="1" t="s">
        <v>65</v>
      </c>
      <c r="B247" s="1" t="s">
        <v>521</v>
      </c>
      <c r="C247" s="1" t="s">
        <v>522</v>
      </c>
      <c r="D247" s="44"/>
      <c r="E247" s="1" t="s">
        <v>40</v>
      </c>
      <c r="F247" s="1" t="s">
        <v>195</v>
      </c>
      <c r="G247" s="1" t="s">
        <v>24</v>
      </c>
      <c r="H247" s="26">
        <v>100</v>
      </c>
      <c r="I247" s="27" t="str">
        <f>HYPERLINK("https://doc.morningstar.com/Document/7154203ee9232666627fddd3baca5884.msdoc?clientid=fnz&amp;key=9c0e4d166b60ffd3","TMD")</f>
        <v>TMD</v>
      </c>
      <c r="J247" t="s">
        <v>25</v>
      </c>
      <c r="K247" s="1" t="s">
        <v>25</v>
      </c>
      <c r="L247" s="1" t="s">
        <v>25</v>
      </c>
      <c r="M247" s="1" t="s">
        <v>25</v>
      </c>
      <c r="N247" s="1" t="s">
        <v>26</v>
      </c>
      <c r="O247" s="1" t="s">
        <v>27</v>
      </c>
      <c r="P247" s="1" t="s">
        <v>26</v>
      </c>
      <c r="Q247" s="1" t="s">
        <v>26</v>
      </c>
    </row>
    <row r="248" spans="1:17" ht="16.5" customHeight="1" x14ac:dyDescent="0.25">
      <c r="A248" s="1" t="s">
        <v>52</v>
      </c>
      <c r="B248" s="1" t="s">
        <v>523</v>
      </c>
      <c r="C248" s="1" t="s">
        <v>524</v>
      </c>
      <c r="D248" s="44"/>
      <c r="E248" s="1" t="s">
        <v>40</v>
      </c>
      <c r="F248" s="1" t="s">
        <v>24</v>
      </c>
      <c r="G248" s="1" t="s">
        <v>24</v>
      </c>
      <c r="H248" s="26">
        <v>100</v>
      </c>
      <c r="I248" s="27" t="str">
        <f>HYPERLINK("https://doc.morningstar.com/Document/7a1a524875486a0ac005f25cf5fe1e82.msdoc?clientid=fnz&amp;key=9c0e4d166b60ffd3","TMD")</f>
        <v>TMD</v>
      </c>
      <c r="J248" t="s">
        <v>25</v>
      </c>
      <c r="K248" s="1" t="s">
        <v>25</v>
      </c>
      <c r="L248" s="1" t="s">
        <v>25</v>
      </c>
      <c r="M248" s="1" t="s">
        <v>25</v>
      </c>
      <c r="N248" s="1" t="s">
        <v>26</v>
      </c>
      <c r="O248" s="1" t="s">
        <v>27</v>
      </c>
      <c r="P248" s="1" t="s">
        <v>27</v>
      </c>
      <c r="Q248" s="1" t="s">
        <v>26</v>
      </c>
    </row>
    <row r="249" spans="1:17" ht="16.5" customHeight="1" x14ac:dyDescent="0.25">
      <c r="A249" s="1" t="s">
        <v>76</v>
      </c>
      <c r="B249" s="1" t="s">
        <v>525</v>
      </c>
      <c r="C249" s="1" t="s">
        <v>526</v>
      </c>
      <c r="D249" s="44"/>
      <c r="E249" s="1" t="s">
        <v>40</v>
      </c>
      <c r="F249" s="1" t="s">
        <v>195</v>
      </c>
      <c r="G249" s="1" t="s">
        <v>24</v>
      </c>
      <c r="H249" s="26">
        <v>100</v>
      </c>
      <c r="I249" s="27" t="str">
        <f>HYPERLINK("https://doc.morningstar.com/Document/ae0517c1b99fbb03152d8421bbdbc968.msdoc?clientid=fnz&amp;key=9c0e4d166b60ffd3","TMD")</f>
        <v>TMD</v>
      </c>
      <c r="J249" t="s">
        <v>25</v>
      </c>
      <c r="K249" s="1" t="s">
        <v>25</v>
      </c>
      <c r="L249" s="1" t="s">
        <v>25</v>
      </c>
      <c r="M249" s="1" t="s">
        <v>25</v>
      </c>
      <c r="N249" s="1" t="s">
        <v>26</v>
      </c>
      <c r="O249" s="1" t="s">
        <v>27</v>
      </c>
      <c r="P249" s="1" t="s">
        <v>27</v>
      </c>
      <c r="Q249" s="1" t="s">
        <v>26</v>
      </c>
    </row>
    <row r="250" spans="1:17" ht="16.5" customHeight="1" x14ac:dyDescent="0.25">
      <c r="A250" s="1" t="s">
        <v>28</v>
      </c>
      <c r="B250" s="1" t="s">
        <v>527</v>
      </c>
      <c r="C250" s="1" t="s">
        <v>528</v>
      </c>
      <c r="D250" s="44"/>
      <c r="E250" s="1" t="s">
        <v>23</v>
      </c>
      <c r="F250" s="1" t="s">
        <v>195</v>
      </c>
      <c r="G250" s="1" t="s">
        <v>24</v>
      </c>
      <c r="H250" s="26">
        <v>30</v>
      </c>
      <c r="I250" s="27" t="str">
        <f>HYPERLINK("https://doc.morningstar.com/Document/8efc73dcb04fa6822efa2f068fd14f46.msdoc?clientid=fnz&amp;key=9c0e4d166b60ffd3","TMD")</f>
        <v>TMD</v>
      </c>
      <c r="J250" t="s">
        <v>25</v>
      </c>
      <c r="K250" s="1" t="s">
        <v>25</v>
      </c>
      <c r="L250" s="1" t="s">
        <v>25</v>
      </c>
      <c r="M250" s="1" t="s">
        <v>25</v>
      </c>
      <c r="N250" s="1" t="s">
        <v>26</v>
      </c>
      <c r="O250" s="1" t="s">
        <v>26</v>
      </c>
      <c r="P250" s="1" t="s">
        <v>26</v>
      </c>
      <c r="Q250" s="1" t="s">
        <v>27</v>
      </c>
    </row>
    <row r="251" spans="1:17" ht="16.5" customHeight="1" x14ac:dyDescent="0.25">
      <c r="A251" s="1" t="s">
        <v>20</v>
      </c>
      <c r="B251" s="1" t="s">
        <v>529</v>
      </c>
      <c r="C251" s="1" t="s">
        <v>530</v>
      </c>
      <c r="D251" s="44"/>
      <c r="E251" s="1" t="s">
        <v>40</v>
      </c>
      <c r="F251" s="1" t="s">
        <v>24</v>
      </c>
      <c r="G251" s="1" t="s">
        <v>24</v>
      </c>
      <c r="H251" s="26">
        <v>60</v>
      </c>
      <c r="I251" s="27" t="str">
        <f>HYPERLINK("https://doc.morningstar.com/Document/d1fc487acb0cda04d2056a8d695eecc3.msdoc?clientid=fnz&amp;key=9c0e4d166b60ffd3","TMD")</f>
        <v>TMD</v>
      </c>
      <c r="J251" t="s">
        <v>25</v>
      </c>
      <c r="K251" s="1" t="s">
        <v>25</v>
      </c>
      <c r="L251" s="1" t="s">
        <v>25</v>
      </c>
      <c r="M251" s="1" t="s">
        <v>25</v>
      </c>
      <c r="N251" s="1" t="s">
        <v>26</v>
      </c>
      <c r="O251" s="1" t="s">
        <v>26</v>
      </c>
      <c r="P251" s="1" t="s">
        <v>26</v>
      </c>
      <c r="Q251" s="1" t="s">
        <v>27</v>
      </c>
    </row>
    <row r="252" spans="1:17" ht="16.5" customHeight="1" x14ac:dyDescent="0.25">
      <c r="A252" s="1" t="s">
        <v>31</v>
      </c>
      <c r="B252" s="1" t="s">
        <v>531</v>
      </c>
      <c r="C252" s="1" t="s">
        <v>532</v>
      </c>
      <c r="D252" s="44"/>
      <c r="E252" s="1" t="s">
        <v>40</v>
      </c>
      <c r="F252" s="1" t="s">
        <v>24</v>
      </c>
      <c r="G252" s="1" t="s">
        <v>24</v>
      </c>
      <c r="H252" s="26">
        <v>100</v>
      </c>
      <c r="I252" s="27" t="str">
        <f>HYPERLINK("https://doc.morningstar.com/Document/1691f75ba2f3a6e97c7dfe8cde6743fe.msdoc?clientid=fnz&amp;key=9c0e4d166b60ffd3","TMD")</f>
        <v>TMD</v>
      </c>
      <c r="J252" t="s">
        <v>25</v>
      </c>
      <c r="K252" s="1" t="s">
        <v>25</v>
      </c>
      <c r="L252" s="1" t="s">
        <v>25</v>
      </c>
      <c r="M252" s="1" t="s">
        <v>25</v>
      </c>
      <c r="N252" s="1" t="s">
        <v>26</v>
      </c>
      <c r="O252" s="1" t="s">
        <v>26</v>
      </c>
      <c r="P252" s="1" t="s">
        <v>26</v>
      </c>
      <c r="Q252" s="1" t="s">
        <v>27</v>
      </c>
    </row>
    <row r="253" spans="1:17" ht="16.5" customHeight="1" x14ac:dyDescent="0.25">
      <c r="A253" s="1" t="s">
        <v>281</v>
      </c>
      <c r="B253" s="1" t="s">
        <v>533</v>
      </c>
      <c r="C253" s="1" t="s">
        <v>534</v>
      </c>
      <c r="D253" s="44"/>
      <c r="E253" s="1" t="s">
        <v>40</v>
      </c>
      <c r="F253" s="1" t="s">
        <v>24</v>
      </c>
      <c r="G253" s="1" t="s">
        <v>24</v>
      </c>
      <c r="H253" s="26">
        <v>100</v>
      </c>
      <c r="I253" s="27" t="str">
        <f>HYPERLINK("https://doc.morningstar.com/Document/ef62b5fe9b202f955aaeb878eb3cc3e7.msdoc?clientid=fnz&amp;key=9c0e4d166b60ffd3","TMD")</f>
        <v>TMD</v>
      </c>
      <c r="J253" t="s">
        <v>25</v>
      </c>
      <c r="K253" s="1" t="s">
        <v>25</v>
      </c>
      <c r="L253" s="1" t="s">
        <v>25</v>
      </c>
      <c r="M253" s="1" t="s">
        <v>25</v>
      </c>
      <c r="N253" s="1" t="s">
        <v>26</v>
      </c>
      <c r="O253" s="1" t="s">
        <v>27</v>
      </c>
      <c r="P253" s="1" t="s">
        <v>26</v>
      </c>
      <c r="Q253" s="1" t="s">
        <v>26</v>
      </c>
    </row>
    <row r="254" spans="1:17" ht="16.5" customHeight="1" x14ac:dyDescent="0.25">
      <c r="A254" s="1" t="s">
        <v>20</v>
      </c>
      <c r="B254" s="1" t="s">
        <v>535</v>
      </c>
      <c r="C254" s="1" t="s">
        <v>536</v>
      </c>
      <c r="D254" s="44" t="s">
        <v>24</v>
      </c>
      <c r="E254" s="1" t="s">
        <v>40</v>
      </c>
      <c r="F254" s="1" t="s">
        <v>24</v>
      </c>
      <c r="G254" s="1" t="s">
        <v>24</v>
      </c>
      <c r="H254" s="26">
        <v>30</v>
      </c>
      <c r="I254" s="27" t="str">
        <f>HYPERLINK("https://doc.morningstar.com/Document/3124570274a8959c3f68087065fd5188.msdoc?clientid=fnz&amp;key=9c0e4d166b60ffd3","TMD")</f>
        <v>TMD</v>
      </c>
      <c r="J254" t="s">
        <v>25</v>
      </c>
      <c r="K254" s="1" t="s">
        <v>25</v>
      </c>
      <c r="L254" s="1" t="s">
        <v>25</v>
      </c>
      <c r="M254" s="1" t="s">
        <v>25</v>
      </c>
      <c r="N254" s="1" t="s">
        <v>26</v>
      </c>
      <c r="O254" s="1" t="s">
        <v>26</v>
      </c>
      <c r="P254" s="1" t="s">
        <v>26</v>
      </c>
      <c r="Q254" s="1" t="s">
        <v>27</v>
      </c>
    </row>
    <row r="255" spans="1:17" ht="16.5" customHeight="1" x14ac:dyDescent="0.25">
      <c r="A255" s="1" t="s">
        <v>20</v>
      </c>
      <c r="B255" s="1" t="s">
        <v>537</v>
      </c>
      <c r="C255" s="1" t="s">
        <v>538</v>
      </c>
      <c r="D255" s="44"/>
      <c r="E255" s="1" t="s">
        <v>40</v>
      </c>
      <c r="F255" s="1" t="s">
        <v>24</v>
      </c>
      <c r="G255" s="1" t="s">
        <v>24</v>
      </c>
      <c r="H255" s="26">
        <v>30</v>
      </c>
      <c r="I255" s="27" t="str">
        <f>HYPERLINK("https://doc.morningstar.com/Document/76ef23c6d725a2a3356617b3cf0f7c62.msdoc?clientid=fnz&amp;key=9c0e4d166b60ffd3","TMD")</f>
        <v>TMD</v>
      </c>
      <c r="J255" t="s">
        <v>25</v>
      </c>
      <c r="K255" s="1" t="s">
        <v>25</v>
      </c>
      <c r="L255" s="1" t="s">
        <v>25</v>
      </c>
      <c r="M255" s="1" t="s">
        <v>25</v>
      </c>
      <c r="N255" s="1" t="s">
        <v>26</v>
      </c>
      <c r="O255" s="1" t="s">
        <v>26</v>
      </c>
      <c r="P255" s="1" t="s">
        <v>26</v>
      </c>
      <c r="Q255" s="1" t="s">
        <v>27</v>
      </c>
    </row>
    <row r="256" spans="1:17" ht="16.5" customHeight="1" x14ac:dyDescent="0.25">
      <c r="A256" s="1" t="s">
        <v>37</v>
      </c>
      <c r="B256" s="1" t="s">
        <v>539</v>
      </c>
      <c r="C256" s="1" t="s">
        <v>540</v>
      </c>
      <c r="D256" s="44"/>
      <c r="E256" s="1" t="s">
        <v>23</v>
      </c>
      <c r="F256" s="1" t="s">
        <v>24</v>
      </c>
      <c r="G256" s="1" t="s">
        <v>24</v>
      </c>
      <c r="H256" s="26">
        <v>50</v>
      </c>
      <c r="I256" s="27" t="str">
        <f>HYPERLINK("https://doc.morningstar.com/Document/3590840b7a4704a43a6c7df101eaf82b.msdoc?clientid=fnz&amp;key=9c0e4d166b60ffd3","TMD")</f>
        <v>TMD</v>
      </c>
      <c r="J256" t="s">
        <v>25</v>
      </c>
      <c r="K256" s="1" t="s">
        <v>25</v>
      </c>
      <c r="L256" s="1" t="s">
        <v>25</v>
      </c>
      <c r="M256" s="1" t="s">
        <v>25</v>
      </c>
      <c r="N256" s="1" t="s">
        <v>26</v>
      </c>
      <c r="O256" s="1" t="s">
        <v>26</v>
      </c>
      <c r="P256" s="1" t="s">
        <v>26</v>
      </c>
      <c r="Q256" s="1" t="s">
        <v>27</v>
      </c>
    </row>
    <row r="257" spans="1:17" ht="16.5" customHeight="1" x14ac:dyDescent="0.25">
      <c r="A257" s="1" t="s">
        <v>34</v>
      </c>
      <c r="B257" s="1" t="s">
        <v>541</v>
      </c>
      <c r="C257" s="1" t="s">
        <v>542</v>
      </c>
      <c r="D257" s="44"/>
      <c r="E257" s="1" t="s">
        <v>40</v>
      </c>
      <c r="F257" s="1" t="s">
        <v>24</v>
      </c>
      <c r="G257" s="1" t="s">
        <v>24</v>
      </c>
      <c r="H257" s="26">
        <v>30</v>
      </c>
      <c r="I257" s="27" t="str">
        <f>HYPERLINK("https://doc.morningstar.com/Document/1fcaec28bfc73493c9523ac31cfb545b.msdoc?clientid=fnz&amp;key=9c0e4d166b60ffd3","TMD")</f>
        <v>TMD</v>
      </c>
      <c r="J257" t="s">
        <v>25</v>
      </c>
      <c r="K257" s="1" t="s">
        <v>25</v>
      </c>
      <c r="L257" s="1" t="s">
        <v>25</v>
      </c>
      <c r="M257" s="1" t="s">
        <v>25</v>
      </c>
      <c r="N257" s="1" t="s">
        <v>26</v>
      </c>
      <c r="O257" s="1" t="s">
        <v>26</v>
      </c>
      <c r="P257" s="1" t="s">
        <v>26</v>
      </c>
      <c r="Q257" s="1" t="s">
        <v>27</v>
      </c>
    </row>
    <row r="258" spans="1:17" ht="16.5" customHeight="1" x14ac:dyDescent="0.25">
      <c r="A258" s="1" t="s">
        <v>65</v>
      </c>
      <c r="B258" s="1" t="s">
        <v>543</v>
      </c>
      <c r="C258" s="1" t="s">
        <v>544</v>
      </c>
      <c r="D258" s="44" t="s">
        <v>24</v>
      </c>
      <c r="E258" s="1" t="s">
        <v>40</v>
      </c>
      <c r="F258" s="1" t="s">
        <v>24</v>
      </c>
      <c r="G258" s="1" t="s">
        <v>24</v>
      </c>
      <c r="H258" s="26">
        <v>100</v>
      </c>
      <c r="I258" s="27" t="str">
        <f>HYPERLINK("https://doc.morningstar.com/Document/e810f5470d2003c8196fc94f9a16e697.msdoc?clientid=fnz&amp;key=9c0e4d166b60ffd3","TMD")</f>
        <v>TMD</v>
      </c>
      <c r="J258" t="s">
        <v>25</v>
      </c>
      <c r="K258" s="1" t="s">
        <v>25</v>
      </c>
      <c r="L258" s="1" t="s">
        <v>25</v>
      </c>
      <c r="M258" s="1" t="s">
        <v>25</v>
      </c>
      <c r="N258" s="1" t="s">
        <v>26</v>
      </c>
      <c r="O258" s="1" t="s">
        <v>27</v>
      </c>
      <c r="P258" s="1" t="s">
        <v>26</v>
      </c>
      <c r="Q258" s="1" t="s">
        <v>26</v>
      </c>
    </row>
    <row r="259" spans="1:17" ht="16.5" customHeight="1" x14ac:dyDescent="0.25">
      <c r="A259" s="1" t="s">
        <v>76</v>
      </c>
      <c r="B259" s="1" t="s">
        <v>545</v>
      </c>
      <c r="C259" s="1" t="s">
        <v>546</v>
      </c>
      <c r="D259" s="44" t="s">
        <v>24</v>
      </c>
      <c r="E259" s="1" t="s">
        <v>40</v>
      </c>
      <c r="F259" s="1" t="s">
        <v>24</v>
      </c>
      <c r="G259" s="1" t="s">
        <v>24</v>
      </c>
      <c r="H259" s="26">
        <v>100</v>
      </c>
      <c r="I259" s="27" t="str">
        <f>HYPERLINK("https://doc.morningstar.com/Document/e810f5470d2003c89247bce18b870544.msdoc?clientid=fnz&amp;key=9c0e4d166b60ffd3","TMD")</f>
        <v>TMD</v>
      </c>
      <c r="J259" t="s">
        <v>25</v>
      </c>
      <c r="K259" s="1" t="s">
        <v>25</v>
      </c>
      <c r="L259" s="1" t="s">
        <v>25</v>
      </c>
      <c r="M259" s="1" t="s">
        <v>25</v>
      </c>
      <c r="N259" s="1" t="s">
        <v>26</v>
      </c>
      <c r="O259" s="1" t="s">
        <v>27</v>
      </c>
      <c r="P259" s="1" t="s">
        <v>27</v>
      </c>
      <c r="Q259" s="1" t="s">
        <v>26</v>
      </c>
    </row>
    <row r="260" spans="1:17" ht="16.5" customHeight="1" x14ac:dyDescent="0.25">
      <c r="A260" s="1" t="s">
        <v>109</v>
      </c>
      <c r="B260" s="1" t="s">
        <v>547</v>
      </c>
      <c r="C260" s="1" t="s">
        <v>548</v>
      </c>
      <c r="D260" s="44" t="s">
        <v>24</v>
      </c>
      <c r="E260" s="1" t="s">
        <v>40</v>
      </c>
      <c r="F260" s="1" t="s">
        <v>24</v>
      </c>
      <c r="G260" s="1" t="s">
        <v>24</v>
      </c>
      <c r="H260" s="26">
        <v>100</v>
      </c>
      <c r="I260" s="27" t="str">
        <f>HYPERLINK("https://doc.morningstar.com/Document/1372049e94cf9106a6b95a6f7b09f04b.msdoc?clientid=fnz&amp;key=9c0e4d166b60ffd3","TMD")</f>
        <v>TMD</v>
      </c>
      <c r="J260" t="s">
        <v>25</v>
      </c>
      <c r="K260" s="1" t="s">
        <v>25</v>
      </c>
      <c r="L260" s="1" t="s">
        <v>25</v>
      </c>
      <c r="M260" s="1" t="s">
        <v>25</v>
      </c>
      <c r="N260" s="1" t="s">
        <v>26</v>
      </c>
      <c r="O260" s="1" t="s">
        <v>26</v>
      </c>
      <c r="P260" s="1" t="s">
        <v>27</v>
      </c>
      <c r="Q260" s="1" t="s">
        <v>27</v>
      </c>
    </row>
    <row r="261" spans="1:17" ht="16.5" customHeight="1" x14ac:dyDescent="0.25">
      <c r="A261" s="1" t="s">
        <v>71</v>
      </c>
      <c r="B261" s="1" t="s">
        <v>549</v>
      </c>
      <c r="C261" s="1" t="s">
        <v>550</v>
      </c>
      <c r="D261" s="44" t="s">
        <v>24</v>
      </c>
      <c r="E261" s="1" t="s">
        <v>40</v>
      </c>
      <c r="F261" s="1" t="s">
        <v>24</v>
      </c>
      <c r="G261" s="1" t="s">
        <v>24</v>
      </c>
      <c r="H261" s="26">
        <v>100</v>
      </c>
      <c r="I261" s="27" t="str">
        <f>HYPERLINK("https://doc.morningstar.com/Document/a24dea10b91f5e254092d5757105de98.msdoc?clientid=fnz&amp;key=9c0e4d166b60ffd3","TMD")</f>
        <v>TMD</v>
      </c>
      <c r="J261" t="s">
        <v>25</v>
      </c>
      <c r="K261" s="1" t="s">
        <v>25</v>
      </c>
      <c r="L261" s="1" t="s">
        <v>25</v>
      </c>
      <c r="M261" s="1" t="s">
        <v>25</v>
      </c>
      <c r="N261" s="1" t="s">
        <v>26</v>
      </c>
      <c r="O261" s="1" t="s">
        <v>26</v>
      </c>
      <c r="P261" s="1" t="s">
        <v>27</v>
      </c>
      <c r="Q261" s="1" t="s">
        <v>27</v>
      </c>
    </row>
    <row r="262" spans="1:17" ht="16.5" customHeight="1" x14ac:dyDescent="0.25">
      <c r="A262" s="1" t="s">
        <v>31</v>
      </c>
      <c r="B262" s="1" t="s">
        <v>551</v>
      </c>
      <c r="C262" s="1" t="s">
        <v>552</v>
      </c>
      <c r="D262" s="44" t="s">
        <v>24</v>
      </c>
      <c r="E262" s="1" t="s">
        <v>40</v>
      </c>
      <c r="F262" s="1" t="s">
        <v>24</v>
      </c>
      <c r="G262" s="1" t="s">
        <v>24</v>
      </c>
      <c r="H262" s="26">
        <v>100</v>
      </c>
      <c r="I262" s="27" t="str">
        <f>HYPERLINK("https://doc.morningstar.com/Document/e810f5470d2003c895930fea4e9b53b4.msdoc?clientid=fnz&amp;key=9c0e4d166b60ffd3","TMD")</f>
        <v>TMD</v>
      </c>
      <c r="J262" t="s">
        <v>25</v>
      </c>
      <c r="K262" s="1" t="s">
        <v>25</v>
      </c>
      <c r="L262" s="1" t="s">
        <v>25</v>
      </c>
      <c r="M262" s="1" t="s">
        <v>25</v>
      </c>
      <c r="N262" s="1" t="s">
        <v>26</v>
      </c>
      <c r="O262" s="1" t="s">
        <v>26</v>
      </c>
      <c r="P262" s="1" t="s">
        <v>26</v>
      </c>
      <c r="Q262" s="1" t="s">
        <v>27</v>
      </c>
    </row>
    <row r="263" spans="1:17" ht="16.5" customHeight="1" x14ac:dyDescent="0.25">
      <c r="A263" s="1" t="s">
        <v>65</v>
      </c>
      <c r="B263" s="1" t="s">
        <v>553</v>
      </c>
      <c r="C263" s="1" t="s">
        <v>554</v>
      </c>
      <c r="D263" s="44" t="s">
        <v>24</v>
      </c>
      <c r="E263" s="1" t="s">
        <v>40</v>
      </c>
      <c r="F263" s="1" t="s">
        <v>195</v>
      </c>
      <c r="G263" s="1" t="s">
        <v>24</v>
      </c>
      <c r="H263" s="26">
        <v>100</v>
      </c>
      <c r="I263" s="27" t="str">
        <f>HYPERLINK("https://doc.morningstar.com/Document/aa44b7a37df4d41778212bd72e277757.msdoc?clientid=fnz&amp;key=9c0e4d166b60ffd3","TMD")</f>
        <v>TMD</v>
      </c>
      <c r="J263" t="s">
        <v>25</v>
      </c>
      <c r="K263" s="1" t="s">
        <v>25</v>
      </c>
      <c r="L263" s="1" t="s">
        <v>25</v>
      </c>
      <c r="M263" s="1" t="s">
        <v>25</v>
      </c>
      <c r="N263" s="1" t="s">
        <v>26</v>
      </c>
      <c r="O263" s="1" t="s">
        <v>27</v>
      </c>
      <c r="P263" s="1" t="s">
        <v>26</v>
      </c>
      <c r="Q263" s="1" t="s">
        <v>26</v>
      </c>
    </row>
    <row r="264" spans="1:17" ht="16.5" customHeight="1" x14ac:dyDescent="0.25">
      <c r="A264" s="1" t="s">
        <v>555</v>
      </c>
      <c r="B264" s="1" t="s">
        <v>556</v>
      </c>
      <c r="C264" s="1" t="s">
        <v>557</v>
      </c>
      <c r="D264" s="44" t="s">
        <v>24</v>
      </c>
      <c r="E264" s="1" t="s">
        <v>40</v>
      </c>
      <c r="F264" s="1" t="s">
        <v>195</v>
      </c>
      <c r="G264" s="1" t="s">
        <v>24</v>
      </c>
      <c r="H264" s="26">
        <v>100</v>
      </c>
      <c r="I264" s="27" t="str">
        <f>HYPERLINK("https://doc.morningstar.com/Document/e810f5470d2003c8ea64cee7f36ab30f.msdoc?clientid=fnz&amp;key=9c0e4d166b60ffd3","TMD")</f>
        <v>TMD</v>
      </c>
      <c r="J264" t="s">
        <v>25</v>
      </c>
      <c r="K264" s="1" t="s">
        <v>25</v>
      </c>
      <c r="L264" s="1" t="s">
        <v>25</v>
      </c>
      <c r="M264" s="1" t="s">
        <v>25</v>
      </c>
      <c r="N264" s="1" t="s">
        <v>26</v>
      </c>
      <c r="O264" s="1" t="s">
        <v>27</v>
      </c>
      <c r="P264" s="1" t="s">
        <v>26</v>
      </c>
      <c r="Q264" s="1" t="s">
        <v>26</v>
      </c>
    </row>
    <row r="265" spans="1:17" ht="16.5" customHeight="1" x14ac:dyDescent="0.25">
      <c r="A265" s="1" t="s">
        <v>52</v>
      </c>
      <c r="B265" s="1" t="s">
        <v>558</v>
      </c>
      <c r="C265" s="1" t="s">
        <v>559</v>
      </c>
      <c r="D265" s="44" t="s">
        <v>24</v>
      </c>
      <c r="E265" s="1" t="s">
        <v>40</v>
      </c>
      <c r="F265" s="1" t="s">
        <v>24</v>
      </c>
      <c r="G265" s="1" t="s">
        <v>24</v>
      </c>
      <c r="H265" s="26">
        <v>100</v>
      </c>
      <c r="I265" s="27" t="str">
        <f>HYPERLINK("https://doc.morningstar.com/Document/e2c13516863968b9d85dfb32c6310b65.msdoc?clientid=fnz&amp;key=9c0e4d166b60ffd3","TMD")</f>
        <v>TMD</v>
      </c>
      <c r="J265" t="s">
        <v>25</v>
      </c>
      <c r="K265" s="1" t="s">
        <v>25</v>
      </c>
      <c r="L265" s="1" t="s">
        <v>25</v>
      </c>
      <c r="M265" s="1" t="s">
        <v>25</v>
      </c>
      <c r="N265" s="1" t="s">
        <v>26</v>
      </c>
      <c r="O265" s="1" t="s">
        <v>27</v>
      </c>
      <c r="P265" s="1" t="s">
        <v>27</v>
      </c>
      <c r="Q265" s="1" t="s">
        <v>26</v>
      </c>
    </row>
    <row r="266" spans="1:17" ht="16.5" customHeight="1" x14ac:dyDescent="0.25">
      <c r="A266" s="1" t="s">
        <v>58</v>
      </c>
      <c r="B266" s="1" t="s">
        <v>560</v>
      </c>
      <c r="C266" s="1" t="s">
        <v>561</v>
      </c>
      <c r="D266" s="44" t="s">
        <v>24</v>
      </c>
      <c r="E266" s="1" t="s">
        <v>23</v>
      </c>
      <c r="F266" s="1" t="s">
        <v>24</v>
      </c>
      <c r="G266" s="1" t="s">
        <v>24</v>
      </c>
      <c r="H266" s="26">
        <v>100</v>
      </c>
      <c r="I266" s="27" t="str">
        <f>HYPERLINK("https://doc.morningstar.com/Document/085fbb8033b93c79cfd35894bf293986.msdoc?clientid=fnz&amp;key=9c0e4d166b60ffd3","TMD")</f>
        <v>TMD</v>
      </c>
      <c r="J266" t="s">
        <v>25</v>
      </c>
      <c r="K266" s="1" t="s">
        <v>25</v>
      </c>
      <c r="L266" s="1" t="s">
        <v>25</v>
      </c>
      <c r="M266" s="1" t="s">
        <v>25</v>
      </c>
      <c r="N266" s="1" t="s">
        <v>26</v>
      </c>
      <c r="O266" s="1" t="s">
        <v>26</v>
      </c>
      <c r="P266" s="1" t="s">
        <v>26</v>
      </c>
      <c r="Q266" s="1" t="s">
        <v>27</v>
      </c>
    </row>
    <row r="267" spans="1:17" ht="16.5" customHeight="1" x14ac:dyDescent="0.25">
      <c r="A267" s="1" t="s">
        <v>109</v>
      </c>
      <c r="B267" s="1" t="s">
        <v>562</v>
      </c>
      <c r="C267" s="1" t="s">
        <v>563</v>
      </c>
      <c r="D267" s="44" t="s">
        <v>24</v>
      </c>
      <c r="E267" s="1" t="s">
        <v>40</v>
      </c>
      <c r="F267" s="1" t="s">
        <v>195</v>
      </c>
      <c r="G267" s="1" t="s">
        <v>24</v>
      </c>
      <c r="H267" s="26">
        <v>100</v>
      </c>
      <c r="I267" s="27" t="str">
        <f>HYPERLINK("https://doc.morningstar.com/Document/3124570274a8959c6446a95dccc25f2f.msdoc?clientid=fnz&amp;key=9c0e4d166b60ffd3","TMD")</f>
        <v>TMD</v>
      </c>
      <c r="J267" t="s">
        <v>25</v>
      </c>
      <c r="K267" s="1" t="s">
        <v>25</v>
      </c>
      <c r="L267" s="1" t="s">
        <v>25</v>
      </c>
      <c r="M267" s="1" t="s">
        <v>25</v>
      </c>
      <c r="N267" s="1" t="s">
        <v>26</v>
      </c>
      <c r="O267" s="1" t="s">
        <v>26</v>
      </c>
      <c r="P267" s="1" t="s">
        <v>27</v>
      </c>
      <c r="Q267" s="1" t="s">
        <v>27</v>
      </c>
    </row>
    <row r="268" spans="1:17" ht="16.5" customHeight="1" x14ac:dyDescent="0.25">
      <c r="A268" s="1" t="s">
        <v>71</v>
      </c>
      <c r="B268" s="1" t="s">
        <v>564</v>
      </c>
      <c r="C268" s="1" t="s">
        <v>565</v>
      </c>
      <c r="D268" s="44"/>
      <c r="E268" s="1" t="s">
        <v>40</v>
      </c>
      <c r="F268" s="1" t="s">
        <v>195</v>
      </c>
      <c r="G268" s="1" t="s">
        <v>24</v>
      </c>
      <c r="H268" s="26">
        <v>100</v>
      </c>
      <c r="I268" s="27" t="str">
        <f>HYPERLINK("https://doc.morningstar.com/Document/e63a0fe54c4fb49385dcf1402cf5104d.msdoc?clientid=fnz&amp;key=9c0e4d166b60ffd3","TMD")</f>
        <v>TMD</v>
      </c>
      <c r="J268" t="s">
        <v>25</v>
      </c>
      <c r="K268" s="1" t="s">
        <v>25</v>
      </c>
      <c r="L268" s="1" t="s">
        <v>25</v>
      </c>
      <c r="M268" s="1" t="s">
        <v>25</v>
      </c>
      <c r="N268" s="1" t="s">
        <v>26</v>
      </c>
      <c r="O268" s="1" t="s">
        <v>26</v>
      </c>
      <c r="P268" s="1" t="s">
        <v>27</v>
      </c>
      <c r="Q268" s="1" t="s">
        <v>27</v>
      </c>
    </row>
    <row r="269" spans="1:17" ht="16.5" customHeight="1" x14ac:dyDescent="0.25">
      <c r="A269" s="1" t="s">
        <v>71</v>
      </c>
      <c r="B269" s="1" t="s">
        <v>566</v>
      </c>
      <c r="C269" s="1" t="s">
        <v>567</v>
      </c>
      <c r="D269" s="44" t="s">
        <v>24</v>
      </c>
      <c r="E269" s="1" t="s">
        <v>40</v>
      </c>
      <c r="F269" s="1" t="s">
        <v>195</v>
      </c>
      <c r="G269" s="1" t="s">
        <v>24</v>
      </c>
      <c r="H269" s="26">
        <v>100</v>
      </c>
      <c r="I269" s="27" t="str">
        <f>HYPERLINK("https://doc.morningstar.com/Document/24cbab78eca4f74d3a1aa14cdc8860fa.msdoc?clientid=fnz&amp;key=9c0e4d166b60ffd3","TMD")</f>
        <v>TMD</v>
      </c>
      <c r="J269" t="s">
        <v>25</v>
      </c>
      <c r="K269" s="1" t="s">
        <v>25</v>
      </c>
      <c r="L269" s="1" t="s">
        <v>25</v>
      </c>
      <c r="M269" s="1" t="s">
        <v>25</v>
      </c>
      <c r="N269" s="1" t="s">
        <v>26</v>
      </c>
      <c r="O269" s="1" t="s">
        <v>26</v>
      </c>
      <c r="P269" s="1" t="s">
        <v>27</v>
      </c>
      <c r="Q269" s="1" t="s">
        <v>27</v>
      </c>
    </row>
    <row r="270" spans="1:17" ht="16.5" customHeight="1" x14ac:dyDescent="0.25">
      <c r="A270" s="1" t="s">
        <v>76</v>
      </c>
      <c r="B270" s="1" t="s">
        <v>568</v>
      </c>
      <c r="C270" s="1" t="s">
        <v>569</v>
      </c>
      <c r="D270" s="44" t="s">
        <v>24</v>
      </c>
      <c r="E270" s="1" t="s">
        <v>40</v>
      </c>
      <c r="F270" s="1" t="s">
        <v>195</v>
      </c>
      <c r="G270" s="1" t="s">
        <v>24</v>
      </c>
      <c r="H270" s="26">
        <v>100</v>
      </c>
      <c r="I270" s="27" t="str">
        <f>HYPERLINK("https://doc.morningstar.com/Document/1939299a742a515269008603182db420.msdoc?clientid=fnz&amp;key=9c0e4d166b60ffd3","TMD")</f>
        <v>TMD</v>
      </c>
      <c r="J270" t="s">
        <v>25</v>
      </c>
      <c r="K270" s="1" t="s">
        <v>25</v>
      </c>
      <c r="L270" s="1" t="s">
        <v>25</v>
      </c>
      <c r="M270" s="1" t="s">
        <v>25</v>
      </c>
      <c r="N270" s="1" t="s">
        <v>26</v>
      </c>
      <c r="O270" s="1" t="s">
        <v>27</v>
      </c>
      <c r="P270" s="1" t="s">
        <v>27</v>
      </c>
      <c r="Q270" s="1" t="s">
        <v>26</v>
      </c>
    </row>
    <row r="271" spans="1:17" ht="16.5" customHeight="1" x14ac:dyDescent="0.25">
      <c r="A271" s="1" t="s">
        <v>34</v>
      </c>
      <c r="B271" s="1" t="s">
        <v>570</v>
      </c>
      <c r="C271" s="1" t="s">
        <v>571</v>
      </c>
      <c r="D271" s="44" t="s">
        <v>24</v>
      </c>
      <c r="E271" s="1" t="s">
        <v>40</v>
      </c>
      <c r="F271" s="1" t="s">
        <v>24</v>
      </c>
      <c r="G271" s="1" t="s">
        <v>24</v>
      </c>
      <c r="H271" s="26">
        <v>30</v>
      </c>
      <c r="I271" s="27" t="str">
        <f>HYPERLINK("https://doc.morningstar.com/Document/e810f5470d2003c872634d687a5f8f89.msdoc?clientid=fnz&amp;key=9c0e4d166b60ffd3","TMD")</f>
        <v>TMD</v>
      </c>
      <c r="J271" t="s">
        <v>25</v>
      </c>
      <c r="K271" s="1" t="s">
        <v>25</v>
      </c>
      <c r="L271" s="1" t="s">
        <v>25</v>
      </c>
      <c r="M271" s="1" t="s">
        <v>25</v>
      </c>
      <c r="N271" s="1" t="s">
        <v>26</v>
      </c>
      <c r="O271" s="1" t="s">
        <v>26</v>
      </c>
      <c r="P271" s="1" t="s">
        <v>26</v>
      </c>
      <c r="Q271" s="1" t="s">
        <v>27</v>
      </c>
    </row>
    <row r="272" spans="1:17" ht="16.5" customHeight="1" x14ac:dyDescent="0.25">
      <c r="A272" s="1" t="s">
        <v>377</v>
      </c>
      <c r="B272" s="1" t="s">
        <v>572</v>
      </c>
      <c r="C272" s="1" t="s">
        <v>573</v>
      </c>
      <c r="D272" s="44"/>
      <c r="E272" s="1" t="s">
        <v>40</v>
      </c>
      <c r="F272" s="1" t="s">
        <v>24</v>
      </c>
      <c r="G272" s="1" t="s">
        <v>24</v>
      </c>
      <c r="H272" s="26">
        <v>100</v>
      </c>
      <c r="I272" s="27" t="str">
        <f>HYPERLINK("https://doc.morningstar.com/Document/fcb8921f4d5645eff0941e4f53364d49.msdoc?clientid=fnz&amp;key=9c0e4d166b60ffd3","TMD")</f>
        <v>TMD</v>
      </c>
      <c r="J272" t="s">
        <v>25</v>
      </c>
      <c r="K272" s="1" t="s">
        <v>25</v>
      </c>
      <c r="L272" s="1" t="s">
        <v>25</v>
      </c>
      <c r="M272" s="1" t="s">
        <v>25</v>
      </c>
      <c r="N272" s="1" t="s">
        <v>26</v>
      </c>
      <c r="O272" s="1" t="s">
        <v>27</v>
      </c>
      <c r="P272" s="1" t="s">
        <v>26</v>
      </c>
      <c r="Q272" s="1" t="s">
        <v>26</v>
      </c>
    </row>
    <row r="273" spans="1:17" ht="16.5" customHeight="1" x14ac:dyDescent="0.25">
      <c r="A273" s="1" t="s">
        <v>58</v>
      </c>
      <c r="B273" s="1" t="s">
        <v>574</v>
      </c>
      <c r="C273" s="1" t="s">
        <v>575</v>
      </c>
      <c r="D273" s="44" t="s">
        <v>24</v>
      </c>
      <c r="E273" s="1" t="s">
        <v>23</v>
      </c>
      <c r="F273" s="1" t="s">
        <v>24</v>
      </c>
      <c r="G273" s="1" t="s">
        <v>24</v>
      </c>
      <c r="H273" s="26">
        <v>100</v>
      </c>
      <c r="I273" s="27" t="str">
        <f>HYPERLINK("https://doc.morningstar.com/Document/1939299a742a5152779ad28b275ffc0d.msdoc?clientid=fnz&amp;key=9c0e4d166b60ffd3","TMD")</f>
        <v>TMD</v>
      </c>
      <c r="J273" t="s">
        <v>25</v>
      </c>
      <c r="K273" s="1" t="s">
        <v>25</v>
      </c>
      <c r="L273" s="1" t="s">
        <v>25</v>
      </c>
      <c r="M273" s="1" t="s">
        <v>25</v>
      </c>
      <c r="N273" s="1" t="s">
        <v>26</v>
      </c>
      <c r="O273" s="1" t="s">
        <v>26</v>
      </c>
      <c r="P273" s="1" t="s">
        <v>26</v>
      </c>
      <c r="Q273" s="1" t="s">
        <v>27</v>
      </c>
    </row>
    <row r="274" spans="1:17" ht="16.5" customHeight="1" x14ac:dyDescent="0.25">
      <c r="A274" s="1" t="s">
        <v>109</v>
      </c>
      <c r="B274" s="1" t="s">
        <v>576</v>
      </c>
      <c r="C274" s="1" t="s">
        <v>577</v>
      </c>
      <c r="D274" s="44" t="s">
        <v>24</v>
      </c>
      <c r="E274" s="1" t="s">
        <v>40</v>
      </c>
      <c r="F274" s="1" t="s">
        <v>24</v>
      </c>
      <c r="G274" s="1" t="s">
        <v>24</v>
      </c>
      <c r="H274" s="26">
        <v>100</v>
      </c>
      <c r="I274" s="27" t="str">
        <f>HYPERLINK("https://doc.morningstar.com/Document/aa44b7a37df4d4175e8876e8bf26a4e9.msdoc?clientid=fnz&amp;key=9c0e4d166b60ffd3","TMD")</f>
        <v>TMD</v>
      </c>
      <c r="J274" t="s">
        <v>25</v>
      </c>
      <c r="K274" s="1" t="s">
        <v>25</v>
      </c>
      <c r="L274" s="1" t="s">
        <v>25</v>
      </c>
      <c r="M274" s="1" t="s">
        <v>25</v>
      </c>
      <c r="N274" s="1" t="s">
        <v>26</v>
      </c>
      <c r="O274" s="1" t="s">
        <v>26</v>
      </c>
      <c r="P274" s="1" t="s">
        <v>27</v>
      </c>
      <c r="Q274" s="1" t="s">
        <v>27</v>
      </c>
    </row>
    <row r="275" spans="1:17" ht="16.5" customHeight="1" x14ac:dyDescent="0.25">
      <c r="A275" s="1" t="s">
        <v>37</v>
      </c>
      <c r="B275" s="1" t="s">
        <v>578</v>
      </c>
      <c r="C275" s="1" t="s">
        <v>579</v>
      </c>
      <c r="D275" s="44" t="s">
        <v>24</v>
      </c>
      <c r="E275" s="1" t="s">
        <v>23</v>
      </c>
      <c r="F275" s="1" t="s">
        <v>24</v>
      </c>
      <c r="G275" s="1" t="s">
        <v>24</v>
      </c>
      <c r="H275" s="26">
        <v>50</v>
      </c>
      <c r="I275" s="27" t="str">
        <f>HYPERLINK("https://doc.morningstar.com/Document/86da4dc2d2c633911af1daea8a4deca3.msdoc?clientid=fnz&amp;key=9c0e4d166b60ffd3","TMD")</f>
        <v>TMD</v>
      </c>
      <c r="J275" t="s">
        <v>25</v>
      </c>
      <c r="K275" s="1" t="s">
        <v>25</v>
      </c>
      <c r="L275" s="1" t="s">
        <v>25</v>
      </c>
      <c r="M275" s="1" t="s">
        <v>25</v>
      </c>
      <c r="N275" s="1" t="s">
        <v>26</v>
      </c>
      <c r="O275" s="1" t="s">
        <v>26</v>
      </c>
      <c r="P275" s="1" t="s">
        <v>26</v>
      </c>
      <c r="Q275" s="1" t="s">
        <v>27</v>
      </c>
    </row>
    <row r="276" spans="1:17" ht="16.5" customHeight="1" x14ac:dyDescent="0.25">
      <c r="A276" s="1" t="s">
        <v>20</v>
      </c>
      <c r="B276" s="1" t="s">
        <v>580</v>
      </c>
      <c r="C276" s="1" t="s">
        <v>581</v>
      </c>
      <c r="D276" s="44"/>
      <c r="E276" s="1" t="s">
        <v>23</v>
      </c>
      <c r="F276" s="1" t="s">
        <v>24</v>
      </c>
      <c r="G276" s="1" t="s">
        <v>24</v>
      </c>
      <c r="H276" s="26">
        <v>30</v>
      </c>
      <c r="I276" s="27" t="str">
        <f>HYPERLINK("https://doc.morningstar.com/Document/1ae4ee968098e96b9d89469378bc871a.msdoc?clientid=fnz&amp;key=9c0e4d166b60ffd3","TMD")</f>
        <v>TMD</v>
      </c>
      <c r="J276" t="s">
        <v>25</v>
      </c>
      <c r="K276" s="1" t="s">
        <v>25</v>
      </c>
      <c r="L276" s="1" t="s">
        <v>25</v>
      </c>
      <c r="M276" s="1" t="s">
        <v>25</v>
      </c>
      <c r="N276" s="1" t="s">
        <v>26</v>
      </c>
      <c r="O276" s="1" t="s">
        <v>26</v>
      </c>
      <c r="P276" s="1" t="s">
        <v>26</v>
      </c>
      <c r="Q276" s="1" t="s">
        <v>27</v>
      </c>
    </row>
    <row r="277" spans="1:17" ht="16.5" customHeight="1" x14ac:dyDescent="0.25">
      <c r="A277" s="1" t="s">
        <v>37</v>
      </c>
      <c r="B277" s="1" t="s">
        <v>582</v>
      </c>
      <c r="C277" s="1" t="s">
        <v>583</v>
      </c>
      <c r="D277" s="44"/>
      <c r="E277" s="1" t="s">
        <v>23</v>
      </c>
      <c r="F277" s="1" t="s">
        <v>24</v>
      </c>
      <c r="G277" s="1" t="s">
        <v>24</v>
      </c>
      <c r="H277" s="26">
        <v>50</v>
      </c>
      <c r="I277" s="27" t="str">
        <f>HYPERLINK("https://doc.morningstar.com/Document/42e931b9eb6edc58771f07526f2fcd37.msdoc?clientid=fnz&amp;key=9c0e4d166b60ffd3","TMD")</f>
        <v>TMD</v>
      </c>
      <c r="J277" t="s">
        <v>25</v>
      </c>
      <c r="K277" s="1" t="s">
        <v>25</v>
      </c>
      <c r="L277" s="1" t="s">
        <v>25</v>
      </c>
      <c r="M277" s="1" t="s">
        <v>25</v>
      </c>
      <c r="N277" s="1" t="s">
        <v>26</v>
      </c>
      <c r="O277" s="1" t="s">
        <v>26</v>
      </c>
      <c r="P277" s="1" t="s">
        <v>26</v>
      </c>
      <c r="Q277" s="1" t="s">
        <v>27</v>
      </c>
    </row>
    <row r="278" spans="1:17" ht="16.5" customHeight="1" x14ac:dyDescent="0.25">
      <c r="A278" s="1" t="s">
        <v>58</v>
      </c>
      <c r="B278" s="1" t="s">
        <v>584</v>
      </c>
      <c r="C278" s="1" t="s">
        <v>585</v>
      </c>
      <c r="D278" s="44"/>
      <c r="E278" s="1" t="s">
        <v>23</v>
      </c>
      <c r="F278" s="1" t="s">
        <v>24</v>
      </c>
      <c r="G278" s="1" t="s">
        <v>24</v>
      </c>
      <c r="H278" s="26">
        <v>100</v>
      </c>
      <c r="I278" s="27" t="str">
        <f>HYPERLINK("https://doc.morningstar.com/Document/0338942b20b8d9d0fad4349ea98bed84.msdoc?clientid=fnz&amp;key=9c0e4d166b60ffd3","TMD")</f>
        <v>TMD</v>
      </c>
      <c r="J278" t="s">
        <v>25</v>
      </c>
      <c r="K278" s="1" t="s">
        <v>25</v>
      </c>
      <c r="L278" s="1" t="s">
        <v>25</v>
      </c>
      <c r="M278" s="1" t="s">
        <v>25</v>
      </c>
      <c r="N278" s="1" t="s">
        <v>26</v>
      </c>
      <c r="O278" s="1" t="s">
        <v>26</v>
      </c>
      <c r="P278" s="1" t="s">
        <v>26</v>
      </c>
      <c r="Q278" s="1" t="s">
        <v>27</v>
      </c>
    </row>
    <row r="279" spans="1:17" ht="16.5" customHeight="1" x14ac:dyDescent="0.25">
      <c r="A279" s="1" t="s">
        <v>377</v>
      </c>
      <c r="B279" s="1" t="s">
        <v>586</v>
      </c>
      <c r="C279" s="1" t="s">
        <v>587</v>
      </c>
      <c r="D279" s="44"/>
      <c r="E279" s="1" t="s">
        <v>40</v>
      </c>
      <c r="F279" s="1" t="s">
        <v>24</v>
      </c>
      <c r="G279" s="1" t="s">
        <v>24</v>
      </c>
      <c r="H279" s="26">
        <v>100</v>
      </c>
      <c r="I279" s="27" t="str">
        <f>HYPERLINK("https://doc.morningstar.com/Document/a972b3e2a1d95a6e4538701fa0a183a5.msdoc?clientid=fnz&amp;key=9c0e4d166b60ffd3","TMD")</f>
        <v>TMD</v>
      </c>
      <c r="J279" t="s">
        <v>25</v>
      </c>
      <c r="K279" s="1" t="s">
        <v>25</v>
      </c>
      <c r="L279" s="1" t="s">
        <v>25</v>
      </c>
      <c r="M279" s="1" t="s">
        <v>25</v>
      </c>
      <c r="N279" s="1" t="s">
        <v>26</v>
      </c>
      <c r="O279" s="1" t="s">
        <v>27</v>
      </c>
      <c r="P279" s="1" t="s">
        <v>26</v>
      </c>
      <c r="Q279" s="1" t="s">
        <v>26</v>
      </c>
    </row>
    <row r="280" spans="1:17" ht="16.5" customHeight="1" x14ac:dyDescent="0.25">
      <c r="A280" s="1" t="s">
        <v>58</v>
      </c>
      <c r="B280" s="1" t="s">
        <v>588</v>
      </c>
      <c r="C280" s="1" t="s">
        <v>589</v>
      </c>
      <c r="D280" s="44"/>
      <c r="E280" s="1" t="s">
        <v>23</v>
      </c>
      <c r="F280" s="1" t="s">
        <v>24</v>
      </c>
      <c r="G280" s="1" t="s">
        <v>24</v>
      </c>
      <c r="H280" s="26">
        <v>100</v>
      </c>
      <c r="I280" s="27" t="str">
        <f>HYPERLINK("https://doc.morningstar.com/Document/67cb2627ce46b2e199340d4e4160b9ba.msdoc?clientid=fnz&amp;key=9c0e4d166b60ffd3","TMD")</f>
        <v>TMD</v>
      </c>
      <c r="J280" t="s">
        <v>25</v>
      </c>
      <c r="K280" s="1" t="s">
        <v>25</v>
      </c>
      <c r="L280" s="1" t="s">
        <v>25</v>
      </c>
      <c r="M280" s="1" t="s">
        <v>25</v>
      </c>
      <c r="N280" s="1" t="s">
        <v>26</v>
      </c>
      <c r="O280" s="1" t="s">
        <v>26</v>
      </c>
      <c r="P280" s="1" t="s">
        <v>26</v>
      </c>
      <c r="Q280" s="1" t="s">
        <v>27</v>
      </c>
    </row>
    <row r="281" spans="1:17" ht="16.5" customHeight="1" x14ac:dyDescent="0.25">
      <c r="A281" s="1" t="s">
        <v>58</v>
      </c>
      <c r="B281" s="1" t="s">
        <v>590</v>
      </c>
      <c r="C281" s="1" t="s">
        <v>591</v>
      </c>
      <c r="D281" s="44"/>
      <c r="E281" s="1" t="s">
        <v>23</v>
      </c>
      <c r="F281" s="1" t="s">
        <v>24</v>
      </c>
      <c r="G281" s="1" t="s">
        <v>24</v>
      </c>
      <c r="H281" s="26">
        <v>100</v>
      </c>
      <c r="I281" s="27" t="str">
        <f>HYPERLINK("https://doc.morningstar.com/Document/3879151ca59e761956f7dfb5c8295635.msdoc?clientid=fnz&amp;key=9c0e4d166b60ffd3","TMD")</f>
        <v>TMD</v>
      </c>
      <c r="J281" t="s">
        <v>25</v>
      </c>
      <c r="K281" s="1" t="s">
        <v>25</v>
      </c>
      <c r="L281" s="1" t="s">
        <v>25</v>
      </c>
      <c r="M281" s="1" t="s">
        <v>25</v>
      </c>
      <c r="N281" s="1" t="s">
        <v>26</v>
      </c>
      <c r="O281" s="1" t="s">
        <v>26</v>
      </c>
      <c r="P281" s="1" t="s">
        <v>26</v>
      </c>
      <c r="Q281" s="1" t="s">
        <v>27</v>
      </c>
    </row>
    <row r="282" spans="1:17" ht="16.5" customHeight="1" x14ac:dyDescent="0.25">
      <c r="A282" s="1" t="s">
        <v>31</v>
      </c>
      <c r="B282" s="1" t="s">
        <v>592</v>
      </c>
      <c r="C282" s="1" t="s">
        <v>593</v>
      </c>
      <c r="D282" s="44"/>
      <c r="E282" s="1" t="s">
        <v>40</v>
      </c>
      <c r="F282" s="1" t="s">
        <v>24</v>
      </c>
      <c r="G282" s="1" t="s">
        <v>24</v>
      </c>
      <c r="H282" s="26">
        <v>100</v>
      </c>
      <c r="I282" s="27" t="str">
        <f>HYPERLINK("https://doc.morningstar.com/Document/ad08b61ece52bdab71870b7922d78297.msdoc?clientid=fnz&amp;key=9c0e4d166b60ffd3","TMD")</f>
        <v>TMD</v>
      </c>
      <c r="J282" t="s">
        <v>25</v>
      </c>
      <c r="K282" s="1" t="s">
        <v>25</v>
      </c>
      <c r="L282" s="1" t="s">
        <v>25</v>
      </c>
      <c r="M282" s="1" t="s">
        <v>25</v>
      </c>
      <c r="N282" s="1" t="s">
        <v>26</v>
      </c>
      <c r="O282" s="1" t="s">
        <v>26</v>
      </c>
      <c r="P282" s="1" t="s">
        <v>26</v>
      </c>
      <c r="Q282" s="1" t="s">
        <v>27</v>
      </c>
    </row>
    <row r="283" spans="1:17" ht="16.5" customHeight="1" x14ac:dyDescent="0.25">
      <c r="A283" s="1" t="s">
        <v>34</v>
      </c>
      <c r="B283" s="1" t="s">
        <v>594</v>
      </c>
      <c r="C283" s="1" t="s">
        <v>595</v>
      </c>
      <c r="D283" s="44"/>
      <c r="E283" s="1" t="s">
        <v>40</v>
      </c>
      <c r="F283" s="1" t="s">
        <v>24</v>
      </c>
      <c r="G283" s="1" t="s">
        <v>24</v>
      </c>
      <c r="H283" s="26">
        <v>30</v>
      </c>
      <c r="I283" s="27" t="str">
        <f>HYPERLINK("https://doc.morningstar.com/Document/b7f576de04435c0729e42e577a0d9f4b.msdoc?clientid=fnz&amp;key=9c0e4d166b60ffd3","TMD")</f>
        <v>TMD</v>
      </c>
      <c r="J283" t="s">
        <v>25</v>
      </c>
      <c r="K283" s="1" t="s">
        <v>25</v>
      </c>
      <c r="L283" s="1" t="s">
        <v>25</v>
      </c>
      <c r="M283" s="1" t="s">
        <v>25</v>
      </c>
      <c r="N283" s="1" t="s">
        <v>26</v>
      </c>
      <c r="O283" s="1" t="s">
        <v>26</v>
      </c>
      <c r="P283" s="1" t="s">
        <v>26</v>
      </c>
      <c r="Q283" s="1" t="s">
        <v>27</v>
      </c>
    </row>
    <row r="284" spans="1:17" ht="16.5" customHeight="1" x14ac:dyDescent="0.25">
      <c r="A284" s="1" t="s">
        <v>281</v>
      </c>
      <c r="B284" s="1" t="s">
        <v>596</v>
      </c>
      <c r="C284" s="1" t="s">
        <v>597</v>
      </c>
      <c r="D284" s="44"/>
      <c r="E284" s="1" t="s">
        <v>40</v>
      </c>
      <c r="F284" s="1" t="s">
        <v>195</v>
      </c>
      <c r="G284" s="1" t="s">
        <v>24</v>
      </c>
      <c r="H284" s="26">
        <v>100</v>
      </c>
      <c r="I284" s="27" t="str">
        <f>HYPERLINK("https://doc.morningstar.com/Document/e9942814e0ccdd79302dc1a67a8a19a2.msdoc?clientid=fnz&amp;key=9c0e4d166b60ffd3","TMD")</f>
        <v>TMD</v>
      </c>
      <c r="J284" t="s">
        <v>25</v>
      </c>
      <c r="K284" s="1" t="s">
        <v>25</v>
      </c>
      <c r="L284" s="1" t="s">
        <v>25</v>
      </c>
      <c r="M284" s="1" t="s">
        <v>25</v>
      </c>
      <c r="N284" s="1" t="s">
        <v>26</v>
      </c>
      <c r="O284" s="1" t="s">
        <v>27</v>
      </c>
      <c r="P284" s="1" t="s">
        <v>26</v>
      </c>
      <c r="Q284" s="1" t="s">
        <v>26</v>
      </c>
    </row>
    <row r="285" spans="1:17" ht="16.5" customHeight="1" x14ac:dyDescent="0.25">
      <c r="A285" s="1" t="s">
        <v>109</v>
      </c>
      <c r="B285" s="1" t="s">
        <v>598</v>
      </c>
      <c r="C285" s="1" t="s">
        <v>599</v>
      </c>
      <c r="D285" s="44" t="s">
        <v>24</v>
      </c>
      <c r="E285" s="1" t="s">
        <v>40</v>
      </c>
      <c r="F285" s="1" t="s">
        <v>195</v>
      </c>
      <c r="G285" s="1" t="s">
        <v>24</v>
      </c>
      <c r="H285" s="26">
        <v>100</v>
      </c>
      <c r="I285" s="27" t="str">
        <f>HYPERLINK("https://doc.morningstar.com/Document/aa44b7a37df4d41718522f77f2d261c0.msdoc?clientid=fnz&amp;key=9c0e4d166b60ffd3","TMD")</f>
        <v>TMD</v>
      </c>
      <c r="J285" t="s">
        <v>25</v>
      </c>
      <c r="K285" s="1" t="s">
        <v>25</v>
      </c>
      <c r="L285" s="1" t="s">
        <v>25</v>
      </c>
      <c r="M285" s="1" t="s">
        <v>25</v>
      </c>
      <c r="N285" s="1" t="s">
        <v>26</v>
      </c>
      <c r="O285" s="1" t="s">
        <v>26</v>
      </c>
      <c r="P285" s="1" t="s">
        <v>27</v>
      </c>
      <c r="Q285" s="1" t="s">
        <v>27</v>
      </c>
    </row>
    <row r="286" spans="1:17" ht="16.5" customHeight="1" x14ac:dyDescent="0.25">
      <c r="A286" s="1" t="s">
        <v>52</v>
      </c>
      <c r="B286" s="1" t="s">
        <v>600</v>
      </c>
      <c r="C286" s="1" t="s">
        <v>601</v>
      </c>
      <c r="D286" s="44"/>
      <c r="E286" s="1" t="s">
        <v>40</v>
      </c>
      <c r="F286" s="1" t="s">
        <v>195</v>
      </c>
      <c r="G286" s="1" t="s">
        <v>24</v>
      </c>
      <c r="H286" s="26">
        <v>100</v>
      </c>
      <c r="I286" s="27" t="str">
        <f>HYPERLINK("https://doc.morningstar.com/Document/7b1e65840033f5a8d32854ce87fe2cf5.msdoc?clientid=fnz&amp;key=9c0e4d166b60ffd3","TMD")</f>
        <v>TMD</v>
      </c>
      <c r="J286" t="s">
        <v>25</v>
      </c>
      <c r="K286" s="1" t="s">
        <v>25</v>
      </c>
      <c r="L286" s="1" t="s">
        <v>25</v>
      </c>
      <c r="M286" s="1" t="s">
        <v>25</v>
      </c>
      <c r="N286" s="1" t="s">
        <v>26</v>
      </c>
      <c r="O286" s="1" t="s">
        <v>27</v>
      </c>
      <c r="P286" s="1" t="s">
        <v>27</v>
      </c>
      <c r="Q286" s="1" t="s">
        <v>26</v>
      </c>
    </row>
    <row r="287" spans="1:17" ht="16.5" customHeight="1" x14ac:dyDescent="0.25">
      <c r="A287" s="1" t="s">
        <v>141</v>
      </c>
      <c r="B287" s="1" t="s">
        <v>602</v>
      </c>
      <c r="C287" s="1" t="s">
        <v>603</v>
      </c>
      <c r="D287" s="44"/>
      <c r="E287" s="1" t="s">
        <v>23</v>
      </c>
      <c r="F287" s="1" t="s">
        <v>24</v>
      </c>
      <c r="G287" s="1" t="s">
        <v>24</v>
      </c>
      <c r="H287" s="26">
        <v>20</v>
      </c>
      <c r="I287" s="27" t="str">
        <f>HYPERLINK("https://doc.morningstar.com/Document/cb8191df8ce0f2b2dd8144d15a0428a7.msdoc?clientid=fnz&amp;key=9c0e4d166b60ffd3","TMD")</f>
        <v>TMD</v>
      </c>
      <c r="J287" t="s">
        <v>25</v>
      </c>
      <c r="K287" s="1" t="s">
        <v>25</v>
      </c>
      <c r="L287" s="1" t="s">
        <v>25</v>
      </c>
      <c r="M287" s="1" t="s">
        <v>25</v>
      </c>
      <c r="N287" s="1" t="s">
        <v>26</v>
      </c>
      <c r="O287" s="1" t="s">
        <v>27</v>
      </c>
      <c r="P287" s="1" t="s">
        <v>27</v>
      </c>
      <c r="Q287" s="1" t="s">
        <v>26</v>
      </c>
    </row>
    <row r="288" spans="1:17" ht="16.5" customHeight="1" x14ac:dyDescent="0.25">
      <c r="A288" s="1" t="s">
        <v>225</v>
      </c>
      <c r="B288" s="1" t="s">
        <v>604</v>
      </c>
      <c r="C288" s="1" t="s">
        <v>605</v>
      </c>
      <c r="D288" s="44"/>
      <c r="E288" s="1" t="s">
        <v>23</v>
      </c>
      <c r="F288" s="1" t="s">
        <v>24</v>
      </c>
      <c r="G288" s="1" t="s">
        <v>24</v>
      </c>
      <c r="H288" s="26">
        <v>30</v>
      </c>
      <c r="I288" s="27" t="str">
        <f>HYPERLINK("https://doc.morningstar.com/Document/0c8ffc643e4019158bbebcd2ba9ca972.msdoc?clientid=fnz&amp;key=9c0e4d166b60ffd3","TMD")</f>
        <v>TMD</v>
      </c>
      <c r="J288" t="s">
        <v>25</v>
      </c>
      <c r="K288" s="1" t="s">
        <v>25</v>
      </c>
      <c r="L288" s="1" t="s">
        <v>25</v>
      </c>
      <c r="M288" s="1" t="s">
        <v>25</v>
      </c>
      <c r="N288" s="1" t="s">
        <v>26</v>
      </c>
      <c r="O288" s="1" t="s">
        <v>26</v>
      </c>
      <c r="P288" s="1" t="s">
        <v>26</v>
      </c>
      <c r="Q288" s="1" t="s">
        <v>27</v>
      </c>
    </row>
    <row r="289" spans="1:17" ht="16.5" customHeight="1" x14ac:dyDescent="0.25">
      <c r="A289" s="1" t="s">
        <v>55</v>
      </c>
      <c r="B289" s="1" t="s">
        <v>606</v>
      </c>
      <c r="C289" s="1" t="s">
        <v>607</v>
      </c>
      <c r="D289" s="44"/>
      <c r="E289" s="1" t="s">
        <v>23</v>
      </c>
      <c r="F289" s="1" t="s">
        <v>24</v>
      </c>
      <c r="G289" s="1" t="s">
        <v>24</v>
      </c>
      <c r="H289" s="26">
        <v>100</v>
      </c>
      <c r="I289" s="27" t="str">
        <f>HYPERLINK("https://doc.morningstar.com/Document/4e71c0383a7e27cfc4826253bf2a60d3.msdoc?clientid=fnz&amp;key=9c0e4d166b60ffd3","TMD")</f>
        <v>TMD</v>
      </c>
      <c r="J289" t="s">
        <v>25</v>
      </c>
      <c r="K289" s="1" t="s">
        <v>25</v>
      </c>
      <c r="L289" s="1" t="s">
        <v>25</v>
      </c>
      <c r="M289" s="1" t="s">
        <v>25</v>
      </c>
      <c r="N289" s="1" t="s">
        <v>26</v>
      </c>
      <c r="O289" s="1" t="s">
        <v>26</v>
      </c>
      <c r="P289" s="1" t="s">
        <v>26</v>
      </c>
      <c r="Q289" s="1" t="s">
        <v>27</v>
      </c>
    </row>
    <row r="290" spans="1:17" ht="16.5" customHeight="1" x14ac:dyDescent="0.25">
      <c r="A290" s="1" t="s">
        <v>37</v>
      </c>
      <c r="B290" s="1" t="s">
        <v>608</v>
      </c>
      <c r="C290" s="1" t="s">
        <v>609</v>
      </c>
      <c r="D290" s="44"/>
      <c r="E290" s="1" t="s">
        <v>23</v>
      </c>
      <c r="F290" s="1" t="s">
        <v>24</v>
      </c>
      <c r="G290" s="1" t="s">
        <v>24</v>
      </c>
      <c r="H290" s="26">
        <v>50</v>
      </c>
      <c r="I290" s="27" t="str">
        <f>HYPERLINK("https://doc.morningstar.com/Document/a0ef5a6da4608a52d28cdd494b30a550.msdoc?clientid=fnz&amp;key=9c0e4d166b60ffd3","TMD")</f>
        <v>TMD</v>
      </c>
      <c r="J290" t="s">
        <v>25</v>
      </c>
      <c r="K290" s="1" t="s">
        <v>25</v>
      </c>
      <c r="L290" s="1" t="s">
        <v>25</v>
      </c>
      <c r="M290" s="1" t="s">
        <v>25</v>
      </c>
      <c r="N290" s="1" t="s">
        <v>26</v>
      </c>
      <c r="O290" s="1" t="s">
        <v>26</v>
      </c>
      <c r="P290" s="1" t="s">
        <v>27</v>
      </c>
      <c r="Q290" s="1" t="s">
        <v>27</v>
      </c>
    </row>
    <row r="291" spans="1:17" ht="16.5" customHeight="1" x14ac:dyDescent="0.25">
      <c r="A291" s="1" t="s">
        <v>52</v>
      </c>
      <c r="B291" s="1" t="s">
        <v>610</v>
      </c>
      <c r="C291" s="1" t="s">
        <v>611</v>
      </c>
      <c r="D291" s="44"/>
      <c r="E291" s="1" t="s">
        <v>40</v>
      </c>
      <c r="F291" s="1" t="s">
        <v>195</v>
      </c>
      <c r="G291" s="1" t="s">
        <v>24</v>
      </c>
      <c r="H291" s="26">
        <v>100</v>
      </c>
      <c r="I291" s="27" t="str">
        <f>HYPERLINK("https://doc.morningstar.com/Document/1219b2258b0530330e0f412944858f63.msdoc?clientid=fnz&amp;key=9c0e4d166b60ffd3","TMD")</f>
        <v>TMD</v>
      </c>
      <c r="J291" t="s">
        <v>25</v>
      </c>
      <c r="K291" s="1" t="s">
        <v>25</v>
      </c>
      <c r="L291" s="1" t="s">
        <v>25</v>
      </c>
      <c r="M291" s="1" t="s">
        <v>25</v>
      </c>
      <c r="N291" s="1" t="s">
        <v>26</v>
      </c>
      <c r="O291" s="1" t="s">
        <v>27</v>
      </c>
      <c r="P291" s="1" t="s">
        <v>27</v>
      </c>
      <c r="Q291" s="1" t="s">
        <v>26</v>
      </c>
    </row>
    <row r="292" spans="1:17" ht="16.5" customHeight="1" x14ac:dyDescent="0.25">
      <c r="A292" s="1" t="s">
        <v>65</v>
      </c>
      <c r="B292" s="1" t="s">
        <v>612</v>
      </c>
      <c r="C292" s="1" t="s">
        <v>613</v>
      </c>
      <c r="D292" s="44" t="s">
        <v>24</v>
      </c>
      <c r="E292" s="1" t="s">
        <v>40</v>
      </c>
      <c r="F292" s="1" t="s">
        <v>24</v>
      </c>
      <c r="G292" s="1" t="s">
        <v>24</v>
      </c>
      <c r="H292" s="26">
        <v>100</v>
      </c>
      <c r="I292" s="27" t="str">
        <f>HYPERLINK("https://doc.morningstar.com/Document/e3d1b76d49eb66429faa99c010703a64.msdoc?clientid=fnz&amp;key=9c0e4d166b60ffd3","TMD")</f>
        <v>TMD</v>
      </c>
      <c r="J292" t="s">
        <v>25</v>
      </c>
      <c r="K292" s="1" t="s">
        <v>25</v>
      </c>
      <c r="L292" s="1" t="s">
        <v>25</v>
      </c>
      <c r="M292" s="1" t="s">
        <v>25</v>
      </c>
      <c r="N292" s="1" t="s">
        <v>26</v>
      </c>
      <c r="O292" s="1" t="s">
        <v>27</v>
      </c>
      <c r="P292" s="1" t="s">
        <v>26</v>
      </c>
      <c r="Q292" s="1" t="s">
        <v>26</v>
      </c>
    </row>
    <row r="293" spans="1:17" ht="16.5" customHeight="1" x14ac:dyDescent="0.25">
      <c r="A293" s="1" t="s">
        <v>76</v>
      </c>
      <c r="B293" s="1" t="s">
        <v>614</v>
      </c>
      <c r="C293" s="1" t="s">
        <v>615</v>
      </c>
      <c r="D293" s="44" t="s">
        <v>24</v>
      </c>
      <c r="E293" s="1" t="s">
        <v>40</v>
      </c>
      <c r="F293" s="1" t="s">
        <v>24</v>
      </c>
      <c r="G293" s="1" t="s">
        <v>24</v>
      </c>
      <c r="H293" s="26">
        <v>100</v>
      </c>
      <c r="I293" s="27" t="str">
        <f>HYPERLINK("https://doc.morningstar.com/Document/8e4085b0717aef0200c90c00885525d0.msdoc?clientid=fnz&amp;key=9c0e4d166b60ffd3","TMD")</f>
        <v>TMD</v>
      </c>
      <c r="J293" t="s">
        <v>25</v>
      </c>
      <c r="K293" s="1" t="s">
        <v>25</v>
      </c>
      <c r="L293" s="1" t="s">
        <v>25</v>
      </c>
      <c r="M293" s="1" t="s">
        <v>25</v>
      </c>
      <c r="N293" s="1" t="s">
        <v>26</v>
      </c>
      <c r="O293" s="1" t="s">
        <v>27</v>
      </c>
      <c r="P293" s="1" t="s">
        <v>27</v>
      </c>
      <c r="Q293" s="1" t="s">
        <v>26</v>
      </c>
    </row>
    <row r="294" spans="1:17" ht="16.5" customHeight="1" x14ac:dyDescent="0.25">
      <c r="A294" s="1" t="s">
        <v>109</v>
      </c>
      <c r="B294" s="1" t="s">
        <v>616</v>
      </c>
      <c r="C294" s="1" t="s">
        <v>617</v>
      </c>
      <c r="D294" s="44" t="s">
        <v>24</v>
      </c>
      <c r="E294" s="1" t="s">
        <v>40</v>
      </c>
      <c r="F294" s="1" t="s">
        <v>24</v>
      </c>
      <c r="G294" s="1" t="s">
        <v>24</v>
      </c>
      <c r="H294" s="26">
        <v>100</v>
      </c>
      <c r="I294" s="27" t="str">
        <f>HYPERLINK("https://doc.morningstar.com/Document/e3d1b76d49eb6642bcbd92a2bee4f428.msdoc?clientid=fnz&amp;key=9c0e4d166b60ffd3","TMD")</f>
        <v>TMD</v>
      </c>
      <c r="J294" t="s">
        <v>25</v>
      </c>
      <c r="K294" s="1" t="s">
        <v>25</v>
      </c>
      <c r="L294" s="1" t="s">
        <v>25</v>
      </c>
      <c r="M294" s="1" t="s">
        <v>25</v>
      </c>
      <c r="N294" s="1" t="s">
        <v>26</v>
      </c>
      <c r="O294" s="1" t="s">
        <v>26</v>
      </c>
      <c r="P294" s="1" t="s">
        <v>27</v>
      </c>
      <c r="Q294" s="1" t="s">
        <v>27</v>
      </c>
    </row>
    <row r="295" spans="1:17" ht="16.5" customHeight="1" x14ac:dyDescent="0.25">
      <c r="A295" s="1" t="s">
        <v>71</v>
      </c>
      <c r="B295" s="1" t="s">
        <v>618</v>
      </c>
      <c r="C295" s="1" t="s">
        <v>619</v>
      </c>
      <c r="D295" s="44" t="s">
        <v>24</v>
      </c>
      <c r="E295" s="1" t="s">
        <v>40</v>
      </c>
      <c r="F295" s="1" t="s">
        <v>24</v>
      </c>
      <c r="G295" s="1" t="s">
        <v>24</v>
      </c>
      <c r="H295" s="26">
        <v>100</v>
      </c>
      <c r="I295" s="27" t="str">
        <f>HYPERLINK("https://doc.morningstar.com/Document/e3d1b76d49eb664227cedf125ff92097.msdoc?clientid=fnz&amp;key=9c0e4d166b60ffd3","TMD")</f>
        <v>TMD</v>
      </c>
      <c r="J295" t="s">
        <v>25</v>
      </c>
      <c r="K295" s="1" t="s">
        <v>25</v>
      </c>
      <c r="L295" s="1" t="s">
        <v>25</v>
      </c>
      <c r="M295" s="1" t="s">
        <v>25</v>
      </c>
      <c r="N295" s="1" t="s">
        <v>26</v>
      </c>
      <c r="O295" s="1" t="s">
        <v>26</v>
      </c>
      <c r="P295" s="1" t="s">
        <v>27</v>
      </c>
      <c r="Q295" s="1" t="s">
        <v>27</v>
      </c>
    </row>
    <row r="296" spans="1:17" ht="16.5" customHeight="1" x14ac:dyDescent="0.25">
      <c r="A296" s="1" t="s">
        <v>58</v>
      </c>
      <c r="B296" s="1" t="s">
        <v>620</v>
      </c>
      <c r="C296" s="1" t="s">
        <v>621</v>
      </c>
      <c r="D296" s="44"/>
      <c r="E296" s="1" t="s">
        <v>23</v>
      </c>
      <c r="F296" s="1" t="s">
        <v>24</v>
      </c>
      <c r="G296" s="1" t="s">
        <v>24</v>
      </c>
      <c r="H296" s="26">
        <v>100</v>
      </c>
      <c r="I296" s="27" t="str">
        <f>HYPERLINK("https://doc.morningstar.com/Document/50be49fd686f483f716acd7af10620ca.msdoc?clientid=fnz&amp;key=9c0e4d166b60ffd3","TMD")</f>
        <v>TMD</v>
      </c>
      <c r="J296" t="s">
        <v>25</v>
      </c>
      <c r="K296" s="1" t="s">
        <v>25</v>
      </c>
      <c r="L296" s="1" t="s">
        <v>25</v>
      </c>
      <c r="M296" s="1" t="s">
        <v>25</v>
      </c>
      <c r="N296" s="1" t="s">
        <v>26</v>
      </c>
      <c r="O296" s="1" t="s">
        <v>26</v>
      </c>
      <c r="P296" s="1" t="s">
        <v>27</v>
      </c>
      <c r="Q296" s="1" t="s">
        <v>27</v>
      </c>
    </row>
    <row r="297" spans="1:17" ht="16.5" customHeight="1" x14ac:dyDescent="0.25">
      <c r="A297" s="1" t="s">
        <v>76</v>
      </c>
      <c r="B297" s="1" t="s">
        <v>622</v>
      </c>
      <c r="C297" s="1" t="s">
        <v>623</v>
      </c>
      <c r="D297" s="44" t="s">
        <v>24</v>
      </c>
      <c r="E297" s="1" t="s">
        <v>40</v>
      </c>
      <c r="F297" s="1" t="s">
        <v>195</v>
      </c>
      <c r="G297" s="1" t="s">
        <v>24</v>
      </c>
      <c r="H297" s="26">
        <v>100</v>
      </c>
      <c r="I297" s="27" t="str">
        <f>HYPERLINK("https://doc.morningstar.com/Document/aa44b7a37df4d4170ff146892440d873.msdoc?clientid=fnz&amp;key=9c0e4d166b60ffd3","TMD")</f>
        <v>TMD</v>
      </c>
      <c r="J297" t="s">
        <v>25</v>
      </c>
      <c r="K297" s="1" t="s">
        <v>25</v>
      </c>
      <c r="L297" s="1" t="s">
        <v>25</v>
      </c>
      <c r="M297" s="1" t="s">
        <v>25</v>
      </c>
      <c r="N297" s="1" t="s">
        <v>26</v>
      </c>
      <c r="O297" s="1" t="s">
        <v>27</v>
      </c>
      <c r="P297" s="1" t="s">
        <v>27</v>
      </c>
      <c r="Q297" s="1" t="s">
        <v>26</v>
      </c>
    </row>
    <row r="298" spans="1:17" ht="16.5" customHeight="1" x14ac:dyDescent="0.25">
      <c r="A298" s="1" t="s">
        <v>76</v>
      </c>
      <c r="B298" s="1" t="s">
        <v>624</v>
      </c>
      <c r="C298" s="1" t="s">
        <v>625</v>
      </c>
      <c r="D298" s="44" t="s">
        <v>24</v>
      </c>
      <c r="E298" s="1" t="s">
        <v>40</v>
      </c>
      <c r="F298" s="1" t="s">
        <v>24</v>
      </c>
      <c r="G298" s="1" t="s">
        <v>24</v>
      </c>
      <c r="H298" s="26">
        <v>100</v>
      </c>
      <c r="I298" s="27" t="str">
        <f>HYPERLINK("https://doc.morningstar.com/Document/e810f5470d2003c86f5ba2c4964abf72.msdoc?clientid=fnz&amp;key=9c0e4d166b60ffd3","TMD")</f>
        <v>TMD</v>
      </c>
      <c r="J298" t="s">
        <v>25</v>
      </c>
      <c r="K298" s="1" t="s">
        <v>25</v>
      </c>
      <c r="L298" s="1" t="s">
        <v>25</v>
      </c>
      <c r="M298" s="1" t="s">
        <v>25</v>
      </c>
      <c r="N298" s="1" t="s">
        <v>26</v>
      </c>
      <c r="O298" s="1" t="s">
        <v>27</v>
      </c>
      <c r="P298" s="1" t="s">
        <v>27</v>
      </c>
      <c r="Q298" s="1" t="s">
        <v>26</v>
      </c>
    </row>
    <row r="299" spans="1:17" ht="16.5" customHeight="1" x14ac:dyDescent="0.25">
      <c r="A299" s="1" t="s">
        <v>76</v>
      </c>
      <c r="B299" s="1" t="s">
        <v>626</v>
      </c>
      <c r="C299" s="1" t="s">
        <v>627</v>
      </c>
      <c r="D299" s="44" t="s">
        <v>24</v>
      </c>
      <c r="E299" s="1" t="s">
        <v>40</v>
      </c>
      <c r="F299" s="1" t="s">
        <v>24</v>
      </c>
      <c r="G299" s="1" t="s">
        <v>24</v>
      </c>
      <c r="H299" s="26">
        <v>100</v>
      </c>
      <c r="I299" s="27" t="str">
        <f>HYPERLINK("https://doc.morningstar.com/Document/711b6c549f253ef2b7ac9d6993eeaa49.msdoc?clientid=fnz&amp;key=9c0e4d166b60ffd3","TMD")</f>
        <v>TMD</v>
      </c>
      <c r="J299" t="s">
        <v>25</v>
      </c>
      <c r="K299" s="1" t="s">
        <v>25</v>
      </c>
      <c r="L299" s="1" t="s">
        <v>25</v>
      </c>
      <c r="M299" s="1" t="s">
        <v>25</v>
      </c>
      <c r="N299" s="1" t="s">
        <v>26</v>
      </c>
      <c r="O299" s="1" t="s">
        <v>27</v>
      </c>
      <c r="P299" s="1" t="s">
        <v>27</v>
      </c>
      <c r="Q299" s="1" t="s">
        <v>26</v>
      </c>
    </row>
    <row r="300" spans="1:17" ht="16.5" customHeight="1" x14ac:dyDescent="0.25">
      <c r="A300" s="1" t="s">
        <v>65</v>
      </c>
      <c r="B300" s="1" t="s">
        <v>628</v>
      </c>
      <c r="C300" s="1" t="s">
        <v>629</v>
      </c>
      <c r="D300" s="44" t="s">
        <v>24</v>
      </c>
      <c r="E300" s="1" t="s">
        <v>40</v>
      </c>
      <c r="F300" s="1" t="s">
        <v>24</v>
      </c>
      <c r="G300" s="1" t="s">
        <v>24</v>
      </c>
      <c r="H300" s="26">
        <v>100</v>
      </c>
      <c r="I300" s="27" t="str">
        <f>HYPERLINK("https://doc.morningstar.com/Document/ecb2a3a7e3ba0f37aa730c567077b590.msdoc?clientid=fnz&amp;key=9c0e4d166b60ffd3","TMD")</f>
        <v>TMD</v>
      </c>
      <c r="J300" t="s">
        <v>25</v>
      </c>
      <c r="K300" s="1" t="s">
        <v>25</v>
      </c>
      <c r="L300" s="1" t="s">
        <v>25</v>
      </c>
      <c r="M300" s="1" t="s">
        <v>25</v>
      </c>
      <c r="N300" s="1" t="s">
        <v>26</v>
      </c>
      <c r="O300" s="1" t="s">
        <v>27</v>
      </c>
      <c r="P300" s="1" t="s">
        <v>26</v>
      </c>
      <c r="Q300" s="1" t="s">
        <v>26</v>
      </c>
    </row>
    <row r="301" spans="1:17" ht="16.5" customHeight="1" x14ac:dyDescent="0.25">
      <c r="A301" s="1" t="s">
        <v>76</v>
      </c>
      <c r="B301" s="1" t="s">
        <v>630</v>
      </c>
      <c r="C301" s="1" t="s">
        <v>631</v>
      </c>
      <c r="D301" s="44" t="s">
        <v>24</v>
      </c>
      <c r="E301" s="1" t="s">
        <v>40</v>
      </c>
      <c r="F301" s="1" t="s">
        <v>24</v>
      </c>
      <c r="G301" s="1" t="s">
        <v>24</v>
      </c>
      <c r="H301" s="26">
        <v>100</v>
      </c>
      <c r="I301" s="27" t="str">
        <f>HYPERLINK("https://doc.morningstar.com/Document/b5516ce6fd100e9e56dbffaffeea8c02.msdoc?clientid=fnz&amp;key=9c0e4d166b60ffd3","TMD")</f>
        <v>TMD</v>
      </c>
      <c r="J301" t="s">
        <v>25</v>
      </c>
      <c r="K301" s="1" t="s">
        <v>25</v>
      </c>
      <c r="L301" s="1" t="s">
        <v>25</v>
      </c>
      <c r="M301" s="1" t="s">
        <v>25</v>
      </c>
      <c r="N301" s="1" t="s">
        <v>26</v>
      </c>
      <c r="O301" s="1" t="s">
        <v>27</v>
      </c>
      <c r="P301" s="1" t="s">
        <v>27</v>
      </c>
      <c r="Q301" s="1" t="s">
        <v>26</v>
      </c>
    </row>
    <row r="302" spans="1:17" ht="16.5" customHeight="1" x14ac:dyDescent="0.25">
      <c r="A302" s="1" t="s">
        <v>71</v>
      </c>
      <c r="B302" s="1" t="s">
        <v>632</v>
      </c>
      <c r="C302" s="1" t="s">
        <v>633</v>
      </c>
      <c r="D302" s="44" t="s">
        <v>24</v>
      </c>
      <c r="E302" s="1" t="s">
        <v>40</v>
      </c>
      <c r="F302" s="1" t="s">
        <v>24</v>
      </c>
      <c r="G302" s="1" t="s">
        <v>24</v>
      </c>
      <c r="H302" s="26">
        <v>100</v>
      </c>
      <c r="I302" s="27" t="str">
        <f>HYPERLINK("https://doc.morningstar.com/Document/ecb2a3a7e3ba0f3771ab8e63a330cb7a.msdoc?clientid=fnz&amp;key=9c0e4d166b60ffd3","TMD")</f>
        <v>TMD</v>
      </c>
      <c r="J302" t="s">
        <v>25</v>
      </c>
      <c r="K302" s="1" t="s">
        <v>25</v>
      </c>
      <c r="L302" s="1" t="s">
        <v>25</v>
      </c>
      <c r="M302" s="1" t="s">
        <v>25</v>
      </c>
      <c r="N302" s="1" t="s">
        <v>26</v>
      </c>
      <c r="O302" s="1" t="s">
        <v>26</v>
      </c>
      <c r="P302" s="1" t="s">
        <v>27</v>
      </c>
      <c r="Q302" s="1" t="s">
        <v>27</v>
      </c>
    </row>
    <row r="303" spans="1:17" ht="16.5" customHeight="1" x14ac:dyDescent="0.25">
      <c r="A303" s="1" t="s">
        <v>28</v>
      </c>
      <c r="B303" s="1" t="s">
        <v>634</v>
      </c>
      <c r="C303" s="1" t="s">
        <v>635</v>
      </c>
      <c r="D303" s="44"/>
      <c r="E303" s="1" t="s">
        <v>23</v>
      </c>
      <c r="F303" s="1" t="s">
        <v>24</v>
      </c>
      <c r="G303" s="1" t="s">
        <v>24</v>
      </c>
      <c r="H303" s="26">
        <v>30</v>
      </c>
      <c r="I303" s="27" t="str">
        <f>HYPERLINK("https://doc.morningstar.com/Document/94ed45f17956271020e1914b4a7fe223.msdoc?clientid=fnz&amp;key=9c0e4d166b60ffd3","TMD")</f>
        <v>TMD</v>
      </c>
      <c r="J303" t="s">
        <v>25</v>
      </c>
      <c r="K303" s="1" t="s">
        <v>25</v>
      </c>
      <c r="L303" s="1" t="s">
        <v>25</v>
      </c>
      <c r="M303" s="1" t="s">
        <v>25</v>
      </c>
      <c r="N303" s="1" t="s">
        <v>26</v>
      </c>
      <c r="O303" s="1" t="s">
        <v>26</v>
      </c>
      <c r="P303" s="1" t="s">
        <v>26</v>
      </c>
      <c r="Q303" s="1" t="s">
        <v>27</v>
      </c>
    </row>
    <row r="304" spans="1:17" ht="16.5" customHeight="1" x14ac:dyDescent="0.25">
      <c r="A304" s="1" t="s">
        <v>31</v>
      </c>
      <c r="B304" s="1" t="s">
        <v>636</v>
      </c>
      <c r="C304" s="1" t="s">
        <v>637</v>
      </c>
      <c r="D304" s="44"/>
      <c r="E304" s="1" t="s">
        <v>40</v>
      </c>
      <c r="F304" s="1" t="s">
        <v>24</v>
      </c>
      <c r="G304" s="1" t="s">
        <v>24</v>
      </c>
      <c r="H304" s="26">
        <v>100</v>
      </c>
      <c r="I304" s="27" t="str">
        <f>HYPERLINK("https://doc.morningstar.com/Document/1e1641dcd61d9fbc3798a29affd89313.msdoc?clientid=fnz&amp;key=9c0e4d166b60ffd3","TMD")</f>
        <v>TMD</v>
      </c>
      <c r="J304" t="s">
        <v>25</v>
      </c>
      <c r="K304" s="1" t="s">
        <v>25</v>
      </c>
      <c r="L304" s="1" t="s">
        <v>25</v>
      </c>
      <c r="M304" s="1" t="s">
        <v>25</v>
      </c>
      <c r="N304" s="1" t="s">
        <v>26</v>
      </c>
      <c r="O304" s="1" t="s">
        <v>26</v>
      </c>
      <c r="P304" s="1" t="s">
        <v>26</v>
      </c>
      <c r="Q304" s="1" t="s">
        <v>27</v>
      </c>
    </row>
    <row r="305" spans="1:17" ht="16.5" customHeight="1" x14ac:dyDescent="0.25">
      <c r="A305" s="1" t="s">
        <v>555</v>
      </c>
      <c r="B305" s="1" t="s">
        <v>638</v>
      </c>
      <c r="C305" s="1" t="s">
        <v>639</v>
      </c>
      <c r="D305" s="44"/>
      <c r="E305" s="1" t="s">
        <v>40</v>
      </c>
      <c r="F305" s="1" t="s">
        <v>24</v>
      </c>
      <c r="G305" s="1" t="s">
        <v>24</v>
      </c>
      <c r="H305" s="26">
        <v>100</v>
      </c>
      <c r="I305" s="27" t="str">
        <f>HYPERLINK("https://doc.morningstar.com/Document/1e1641dcd61d9fbc7f1f45d268d4116f.msdoc?clientid=fnz&amp;key=9c0e4d166b60ffd3","TMD")</f>
        <v>TMD</v>
      </c>
      <c r="J305" t="s">
        <v>25</v>
      </c>
      <c r="K305" s="1" t="s">
        <v>25</v>
      </c>
      <c r="L305" s="1" t="s">
        <v>25</v>
      </c>
      <c r="M305" s="1" t="s">
        <v>25</v>
      </c>
      <c r="N305" s="1" t="s">
        <v>26</v>
      </c>
      <c r="O305" s="1" t="s">
        <v>27</v>
      </c>
      <c r="P305" s="1" t="s">
        <v>26</v>
      </c>
      <c r="Q305" s="1" t="s">
        <v>26</v>
      </c>
    </row>
    <row r="306" spans="1:17" ht="16.5" customHeight="1" x14ac:dyDescent="0.25">
      <c r="A306" s="1" t="s">
        <v>37</v>
      </c>
      <c r="B306" s="1" t="s">
        <v>640</v>
      </c>
      <c r="C306" s="1" t="s">
        <v>641</v>
      </c>
      <c r="D306" s="44"/>
      <c r="E306" s="1" t="s">
        <v>23</v>
      </c>
      <c r="F306" s="1" t="s">
        <v>24</v>
      </c>
      <c r="G306" s="1" t="s">
        <v>24</v>
      </c>
      <c r="H306" s="26">
        <v>50</v>
      </c>
      <c r="I306" s="27" t="str">
        <f>HYPERLINK("https://doc.morningstar.com/Document/aeae0d9b4efb4eaaf3a67a5f9807fffb.msdoc?clientid=fnz&amp;key=9c0e4d166b60ffd3","TMD")</f>
        <v>TMD</v>
      </c>
      <c r="J306" t="s">
        <v>25</v>
      </c>
      <c r="K306" s="1" t="s">
        <v>25</v>
      </c>
      <c r="L306" s="1" t="s">
        <v>25</v>
      </c>
      <c r="M306" s="1" t="s">
        <v>25</v>
      </c>
      <c r="N306" s="1" t="s">
        <v>26</v>
      </c>
      <c r="O306" s="1" t="s">
        <v>26</v>
      </c>
      <c r="P306" s="1" t="s">
        <v>26</v>
      </c>
      <c r="Q306" s="1" t="s">
        <v>27</v>
      </c>
    </row>
    <row r="307" spans="1:17" ht="16.5" customHeight="1" x14ac:dyDescent="0.25">
      <c r="A307" s="1" t="s">
        <v>141</v>
      </c>
      <c r="B307" s="1" t="s">
        <v>642</v>
      </c>
      <c r="C307" s="1" t="s">
        <v>643</v>
      </c>
      <c r="D307" s="44"/>
      <c r="E307" s="1" t="s">
        <v>23</v>
      </c>
      <c r="F307" s="1" t="s">
        <v>24</v>
      </c>
      <c r="G307" s="1" t="s">
        <v>24</v>
      </c>
      <c r="H307" s="26">
        <v>20</v>
      </c>
      <c r="I307" s="27" t="str">
        <f>HYPERLINK("https://doc.morningstar.com/Document/1e1641dcd61d9fbcba5b27b2ed041964.msdoc?clientid=fnz&amp;key=9c0e4d166b60ffd3","TMD")</f>
        <v>TMD</v>
      </c>
      <c r="J307" t="s">
        <v>25</v>
      </c>
      <c r="K307" s="1" t="s">
        <v>25</v>
      </c>
      <c r="L307" s="1" t="s">
        <v>25</v>
      </c>
      <c r="M307" s="1" t="s">
        <v>25</v>
      </c>
      <c r="N307" s="1" t="s">
        <v>26</v>
      </c>
      <c r="O307" s="1" t="s">
        <v>27</v>
      </c>
      <c r="P307" s="1" t="s">
        <v>27</v>
      </c>
      <c r="Q307" s="1" t="s">
        <v>26</v>
      </c>
    </row>
    <row r="308" spans="1:17" ht="16.5" customHeight="1" x14ac:dyDescent="0.25">
      <c r="A308" s="1" t="s">
        <v>28</v>
      </c>
      <c r="B308" s="1" t="s">
        <v>644</v>
      </c>
      <c r="C308" s="1" t="s">
        <v>645</v>
      </c>
      <c r="D308" s="44"/>
      <c r="E308" s="1" t="s">
        <v>23</v>
      </c>
      <c r="F308" s="1" t="s">
        <v>24</v>
      </c>
      <c r="G308" s="1" t="s">
        <v>24</v>
      </c>
      <c r="H308" s="26">
        <v>30</v>
      </c>
      <c r="I308" s="27" t="str">
        <f>HYPERLINK("https://doc.morningstar.com/Document/22072cdf5d5dfe72cbbcb359eeef8b25.msdoc?clientid=fnz&amp;key=9c0e4d166b60ffd3","TMD")</f>
        <v>TMD</v>
      </c>
      <c r="J308" t="s">
        <v>25</v>
      </c>
      <c r="K308" s="1" t="s">
        <v>25</v>
      </c>
      <c r="L308" s="1" t="s">
        <v>25</v>
      </c>
      <c r="M308" s="1" t="s">
        <v>25</v>
      </c>
      <c r="N308" s="1" t="s">
        <v>26</v>
      </c>
      <c r="O308" s="1" t="s">
        <v>26</v>
      </c>
      <c r="P308" s="1" t="s">
        <v>26</v>
      </c>
      <c r="Q308" s="1" t="s">
        <v>27</v>
      </c>
    </row>
    <row r="309" spans="1:17" ht="16.5" customHeight="1" x14ac:dyDescent="0.25">
      <c r="A309" s="1" t="s">
        <v>122</v>
      </c>
      <c r="B309" s="1" t="s">
        <v>646</v>
      </c>
      <c r="C309" s="1" t="s">
        <v>647</v>
      </c>
      <c r="D309" s="44"/>
      <c r="E309" s="1" t="s">
        <v>40</v>
      </c>
      <c r="F309" s="1" t="s">
        <v>24</v>
      </c>
      <c r="G309" s="1" t="s">
        <v>24</v>
      </c>
      <c r="H309" s="26">
        <v>100</v>
      </c>
      <c r="I309" s="27" t="str">
        <f>HYPERLINK("https://doc.morningstar.com/Document/0338942b20b8d9d006597aaeaf7175a1.msdoc?clientid=fnz&amp;key=9c0e4d166b60ffd3","TMD")</f>
        <v>TMD</v>
      </c>
      <c r="J309" t="s">
        <v>25</v>
      </c>
      <c r="K309" s="1" t="s">
        <v>25</v>
      </c>
      <c r="L309" s="1" t="s">
        <v>25</v>
      </c>
      <c r="M309" s="1" t="s">
        <v>25</v>
      </c>
      <c r="N309" s="1" t="s">
        <v>26</v>
      </c>
      <c r="O309" s="1" t="s">
        <v>26</v>
      </c>
      <c r="P309" s="1" t="s">
        <v>27</v>
      </c>
      <c r="Q309" s="1" t="s">
        <v>27</v>
      </c>
    </row>
    <row r="310" spans="1:17" ht="16.5" customHeight="1" x14ac:dyDescent="0.25">
      <c r="A310" s="1" t="s">
        <v>58</v>
      </c>
      <c r="B310" s="1" t="s">
        <v>648</v>
      </c>
      <c r="C310" s="1" t="s">
        <v>649</v>
      </c>
      <c r="D310" s="44"/>
      <c r="E310" s="1" t="s">
        <v>23</v>
      </c>
      <c r="F310" s="1" t="s">
        <v>24</v>
      </c>
      <c r="G310" s="1" t="s">
        <v>24</v>
      </c>
      <c r="H310" s="26">
        <v>100</v>
      </c>
      <c r="I310" s="27" t="str">
        <f>HYPERLINK("https://doc.morningstar.com/Document/183bad77ae1244c5dc85ccbe3c8b583c.msdoc?clientid=fnz&amp;key=9c0e4d166b60ffd3","TMD")</f>
        <v>TMD</v>
      </c>
      <c r="J310" t="s">
        <v>25</v>
      </c>
      <c r="K310" s="1" t="s">
        <v>25</v>
      </c>
      <c r="L310" s="1" t="s">
        <v>25</v>
      </c>
      <c r="M310" s="1" t="s">
        <v>25</v>
      </c>
      <c r="N310" s="1" t="s">
        <v>26</v>
      </c>
      <c r="O310" s="1" t="s">
        <v>26</v>
      </c>
      <c r="P310" s="1" t="s">
        <v>26</v>
      </c>
      <c r="Q310" s="1" t="s">
        <v>27</v>
      </c>
    </row>
    <row r="311" spans="1:17" ht="16.5" customHeight="1" x14ac:dyDescent="0.25">
      <c r="A311" s="1" t="s">
        <v>20</v>
      </c>
      <c r="B311" s="1" t="s">
        <v>650</v>
      </c>
      <c r="C311" s="1" t="s">
        <v>651</v>
      </c>
      <c r="D311" s="44"/>
      <c r="E311" s="1" t="s">
        <v>40</v>
      </c>
      <c r="F311" s="1" t="s">
        <v>24</v>
      </c>
      <c r="G311" s="1" t="s">
        <v>24</v>
      </c>
      <c r="H311" s="26">
        <v>30</v>
      </c>
      <c r="I311" s="27" t="str">
        <f>HYPERLINK("https://doc.morningstar.com/Document/fc1d33281d48cfd54d808fce4ebe53fa.msdoc?clientid=fnz&amp;key=9c0e4d166b60ffd3","TMD")</f>
        <v>TMD</v>
      </c>
      <c r="J311" t="s">
        <v>25</v>
      </c>
      <c r="K311" s="1" t="s">
        <v>25</v>
      </c>
      <c r="L311" s="1" t="s">
        <v>25</v>
      </c>
      <c r="M311" s="1" t="s">
        <v>25</v>
      </c>
      <c r="N311" s="1" t="s">
        <v>26</v>
      </c>
      <c r="O311" s="1" t="s">
        <v>26</v>
      </c>
      <c r="P311" s="1" t="s">
        <v>26</v>
      </c>
      <c r="Q311" s="1" t="s">
        <v>27</v>
      </c>
    </row>
    <row r="312" spans="1:17" ht="16.5" customHeight="1" x14ac:dyDescent="0.25">
      <c r="A312" s="1" t="s">
        <v>81</v>
      </c>
      <c r="B312" s="1" t="s">
        <v>652</v>
      </c>
      <c r="C312" s="1" t="s">
        <v>653</v>
      </c>
      <c r="D312" s="44"/>
      <c r="E312" s="1" t="s">
        <v>23</v>
      </c>
      <c r="F312" s="1" t="s">
        <v>24</v>
      </c>
      <c r="G312" s="1" t="s">
        <v>24</v>
      </c>
      <c r="H312" s="26">
        <v>50</v>
      </c>
      <c r="I312" s="27" t="str">
        <f>HYPERLINK("https://doc.morningstar.com/Document/0338942b20b8d9d0c7a8348b60538700.msdoc?clientid=fnz&amp;key=9c0e4d166b60ffd3","TMD")</f>
        <v>TMD</v>
      </c>
      <c r="J312" t="s">
        <v>25</v>
      </c>
      <c r="K312" s="1" t="s">
        <v>25</v>
      </c>
      <c r="L312" s="1" t="s">
        <v>25</v>
      </c>
      <c r="M312" s="1" t="s">
        <v>25</v>
      </c>
      <c r="N312" s="1" t="s">
        <v>26</v>
      </c>
      <c r="O312" s="1" t="s">
        <v>26</v>
      </c>
      <c r="P312" s="1" t="s">
        <v>26</v>
      </c>
      <c r="Q312" s="1" t="s">
        <v>27</v>
      </c>
    </row>
    <row r="313" spans="1:17" ht="16.5" customHeight="1" x14ac:dyDescent="0.25">
      <c r="A313" s="1" t="s">
        <v>76</v>
      </c>
      <c r="B313" s="1" t="s">
        <v>654</v>
      </c>
      <c r="C313" s="1" t="s">
        <v>655</v>
      </c>
      <c r="D313" s="44"/>
      <c r="E313" s="1" t="s">
        <v>40</v>
      </c>
      <c r="F313" s="1" t="s">
        <v>24</v>
      </c>
      <c r="G313" s="1" t="s">
        <v>24</v>
      </c>
      <c r="H313" s="26">
        <v>100</v>
      </c>
      <c r="I313" s="27" t="str">
        <f>HYPERLINK("https://doc.morningstar.com/Document/94ed45f1795627103ec54f667ea455e7.msdoc?clientid=fnz&amp;key=9c0e4d166b60ffd3","TMD")</f>
        <v>TMD</v>
      </c>
      <c r="J313" t="s">
        <v>25</v>
      </c>
      <c r="K313" s="1" t="s">
        <v>25</v>
      </c>
      <c r="L313" s="1" t="s">
        <v>25</v>
      </c>
      <c r="M313" s="1" t="s">
        <v>25</v>
      </c>
      <c r="N313" s="1" t="s">
        <v>26</v>
      </c>
      <c r="O313" s="1" t="s">
        <v>27</v>
      </c>
      <c r="P313" s="1" t="s">
        <v>27</v>
      </c>
      <c r="Q313" s="1" t="s">
        <v>26</v>
      </c>
    </row>
    <row r="314" spans="1:17" ht="16.5" customHeight="1" x14ac:dyDescent="0.25">
      <c r="A314" s="1" t="s">
        <v>76</v>
      </c>
      <c r="B314" s="1" t="s">
        <v>656</v>
      </c>
      <c r="C314" s="1" t="s">
        <v>657</v>
      </c>
      <c r="D314" s="44"/>
      <c r="E314" s="1" t="s">
        <v>40</v>
      </c>
      <c r="F314" s="1" t="s">
        <v>24</v>
      </c>
      <c r="G314" s="1" t="s">
        <v>24</v>
      </c>
      <c r="H314" s="26">
        <v>100</v>
      </c>
      <c r="I314" s="27" t="str">
        <f>HYPERLINK("https://doc.morningstar.com/Document/973d008d37d84d321f4cdf51dc749a90.msdoc?clientid=fnz&amp;key=9c0e4d166b60ffd3","TMD")</f>
        <v>TMD</v>
      </c>
      <c r="J314" t="s">
        <v>25</v>
      </c>
      <c r="K314" s="1" t="s">
        <v>25</v>
      </c>
      <c r="L314" s="1" t="s">
        <v>25</v>
      </c>
      <c r="M314" s="1" t="s">
        <v>25</v>
      </c>
      <c r="N314" s="1" t="s">
        <v>26</v>
      </c>
      <c r="O314" s="1" t="s">
        <v>27</v>
      </c>
      <c r="P314" s="1" t="s">
        <v>27</v>
      </c>
      <c r="Q314" s="1" t="s">
        <v>26</v>
      </c>
    </row>
    <row r="315" spans="1:17" ht="16.5" customHeight="1" x14ac:dyDescent="0.25">
      <c r="A315" s="1" t="s">
        <v>37</v>
      </c>
      <c r="B315" s="1" t="s">
        <v>658</v>
      </c>
      <c r="C315" s="1" t="s">
        <v>659</v>
      </c>
      <c r="D315" s="44"/>
      <c r="E315" s="1" t="s">
        <v>23</v>
      </c>
      <c r="F315" s="1" t="s">
        <v>24</v>
      </c>
      <c r="G315" s="1" t="s">
        <v>24</v>
      </c>
      <c r="H315" s="26">
        <v>50</v>
      </c>
      <c r="I315" s="27" t="str">
        <f>HYPERLINK("https://doc.morningstar.com/Document/973d008d37d84d32ff71220902823483.msdoc?clientid=fnz&amp;key=9c0e4d166b60ffd3","TMD")</f>
        <v>TMD</v>
      </c>
      <c r="J315" t="s">
        <v>25</v>
      </c>
      <c r="K315" s="1" t="s">
        <v>25</v>
      </c>
      <c r="L315" s="1" t="s">
        <v>25</v>
      </c>
      <c r="M315" s="1" t="s">
        <v>25</v>
      </c>
      <c r="N315" s="1" t="s">
        <v>26</v>
      </c>
      <c r="O315" s="1" t="s">
        <v>26</v>
      </c>
      <c r="P315" s="1" t="s">
        <v>26</v>
      </c>
      <c r="Q315" s="1" t="s">
        <v>27</v>
      </c>
    </row>
    <row r="316" spans="1:17" ht="16.5" customHeight="1" x14ac:dyDescent="0.25">
      <c r="A316" s="1" t="s">
        <v>58</v>
      </c>
      <c r="B316" s="1" t="s">
        <v>660</v>
      </c>
      <c r="C316" s="1" t="s">
        <v>661</v>
      </c>
      <c r="D316" s="44"/>
      <c r="E316" s="1" t="s">
        <v>23</v>
      </c>
      <c r="F316" s="1" t="s">
        <v>24</v>
      </c>
      <c r="G316" s="1" t="s">
        <v>24</v>
      </c>
      <c r="H316" s="26">
        <v>100</v>
      </c>
      <c r="I316" s="27" t="str">
        <f>HYPERLINK("https://doc.morningstar.com/Document/973d008d37d84d32d640240f84b7fbdb.msdoc?clientid=fnz&amp;key=9c0e4d166b60ffd3","TMD")</f>
        <v>TMD</v>
      </c>
      <c r="J316" t="s">
        <v>25</v>
      </c>
      <c r="K316" s="1" t="s">
        <v>25</v>
      </c>
      <c r="L316" s="1" t="s">
        <v>25</v>
      </c>
      <c r="M316" s="1" t="s">
        <v>25</v>
      </c>
      <c r="N316" s="1" t="s">
        <v>26</v>
      </c>
      <c r="O316" s="1" t="s">
        <v>26</v>
      </c>
      <c r="P316" s="1" t="s">
        <v>26</v>
      </c>
      <c r="Q316" s="1" t="s">
        <v>27</v>
      </c>
    </row>
    <row r="317" spans="1:17" ht="16.5" customHeight="1" x14ac:dyDescent="0.25">
      <c r="A317" s="1" t="s">
        <v>71</v>
      </c>
      <c r="B317" s="1" t="s">
        <v>662</v>
      </c>
      <c r="C317" s="1" t="s">
        <v>663</v>
      </c>
      <c r="D317" s="44"/>
      <c r="E317" s="1" t="s">
        <v>40</v>
      </c>
      <c r="F317" s="1" t="s">
        <v>24</v>
      </c>
      <c r="G317" s="1" t="s">
        <v>24</v>
      </c>
      <c r="H317" s="26">
        <v>100</v>
      </c>
      <c r="I317" s="27" t="str">
        <f>HYPERLINK("https://doc.morningstar.com/Document/cb8191df8ce0f2b28d3fbdf1383b4af2.msdoc?clientid=fnz&amp;key=9c0e4d166b60ffd3","TMD")</f>
        <v>TMD</v>
      </c>
      <c r="J317" t="s">
        <v>25</v>
      </c>
      <c r="K317" s="1" t="s">
        <v>25</v>
      </c>
      <c r="L317" s="1" t="s">
        <v>25</v>
      </c>
      <c r="M317" s="1" t="s">
        <v>25</v>
      </c>
      <c r="N317" s="1" t="s">
        <v>26</v>
      </c>
      <c r="O317" s="1" t="s">
        <v>26</v>
      </c>
      <c r="P317" s="1" t="s">
        <v>27</v>
      </c>
      <c r="Q317" s="1" t="s">
        <v>27</v>
      </c>
    </row>
    <row r="318" spans="1:17" ht="16.5" customHeight="1" x14ac:dyDescent="0.25">
      <c r="A318" s="1" t="s">
        <v>20</v>
      </c>
      <c r="B318" s="1" t="s">
        <v>664</v>
      </c>
      <c r="C318" s="1" t="s">
        <v>665</v>
      </c>
      <c r="D318" s="44"/>
      <c r="E318" s="1" t="s">
        <v>40</v>
      </c>
      <c r="F318" s="1" t="s">
        <v>24</v>
      </c>
      <c r="G318" s="1" t="s">
        <v>24</v>
      </c>
      <c r="H318" s="26">
        <v>30</v>
      </c>
      <c r="I318" s="27" t="str">
        <f>HYPERLINK("https://doc.morningstar.com/Document/24cbab78eca4f74d4b6a1805a64c38e6.msdoc?clientid=fnz&amp;key=9c0e4d166b60ffd3","TMD")</f>
        <v>TMD</v>
      </c>
      <c r="J318" t="s">
        <v>25</v>
      </c>
      <c r="K318" s="1" t="s">
        <v>25</v>
      </c>
      <c r="L318" s="1" t="s">
        <v>25</v>
      </c>
      <c r="M318" s="1" t="s">
        <v>25</v>
      </c>
      <c r="N318" s="1" t="s">
        <v>26</v>
      </c>
      <c r="O318" s="1" t="s">
        <v>26</v>
      </c>
      <c r="P318" s="1" t="s">
        <v>26</v>
      </c>
      <c r="Q318" s="1" t="s">
        <v>27</v>
      </c>
    </row>
    <row r="319" spans="1:17" ht="16.5" customHeight="1" x14ac:dyDescent="0.25">
      <c r="A319" s="1" t="s">
        <v>58</v>
      </c>
      <c r="B319" s="1" t="s">
        <v>666</v>
      </c>
      <c r="C319" s="1" t="s">
        <v>667</v>
      </c>
      <c r="D319" s="44"/>
      <c r="E319" s="1" t="s">
        <v>23</v>
      </c>
      <c r="F319" s="1" t="s">
        <v>24</v>
      </c>
      <c r="G319" s="1" t="s">
        <v>24</v>
      </c>
      <c r="H319" s="26">
        <v>100</v>
      </c>
      <c r="I319" s="27" t="str">
        <f>HYPERLINK("https://doc.morningstar.com/Document/1e1641dcd61d9fbc4304950e6b23ba40.msdoc?clientid=fnz&amp;key=9c0e4d166b60ffd3","TMD")</f>
        <v>TMD</v>
      </c>
      <c r="J319" t="s">
        <v>25</v>
      </c>
      <c r="K319" s="1" t="s">
        <v>25</v>
      </c>
      <c r="L319" s="1" t="s">
        <v>25</v>
      </c>
      <c r="M319" s="1" t="s">
        <v>25</v>
      </c>
      <c r="N319" s="1" t="s">
        <v>26</v>
      </c>
      <c r="O319" s="1" t="s">
        <v>26</v>
      </c>
      <c r="P319" s="1" t="s">
        <v>26</v>
      </c>
      <c r="Q319" s="1" t="s">
        <v>27</v>
      </c>
    </row>
    <row r="320" spans="1:17" ht="16.5" customHeight="1" x14ac:dyDescent="0.25">
      <c r="A320" s="1" t="s">
        <v>274</v>
      </c>
      <c r="B320" s="1" t="s">
        <v>668</v>
      </c>
      <c r="C320" s="1" t="s">
        <v>669</v>
      </c>
      <c r="D320" s="44"/>
      <c r="E320" s="1" t="s">
        <v>23</v>
      </c>
      <c r="F320" s="1" t="s">
        <v>24</v>
      </c>
      <c r="G320" s="1" t="s">
        <v>24</v>
      </c>
      <c r="H320" s="26">
        <v>100</v>
      </c>
      <c r="I320" s="27" t="str">
        <f>HYPERLINK("https://doc.morningstar.com/Document/ab3a66f93d5c1638ee4b9e3cb9f3b33b.msdoc?clientid=fnz&amp;key=9c0e4d166b60ffd3","TMD")</f>
        <v>TMD</v>
      </c>
      <c r="J320" t="s">
        <v>25</v>
      </c>
      <c r="K320" s="1" t="s">
        <v>25</v>
      </c>
      <c r="L320" s="1" t="s">
        <v>25</v>
      </c>
      <c r="M320" s="1" t="s">
        <v>25</v>
      </c>
      <c r="N320" s="1" t="s">
        <v>25</v>
      </c>
      <c r="O320" s="1" t="s">
        <v>25</v>
      </c>
      <c r="P320" s="1" t="s">
        <v>25</v>
      </c>
      <c r="Q320" s="1" t="s">
        <v>25</v>
      </c>
    </row>
    <row r="321" spans="1:17" ht="16.5" customHeight="1" x14ac:dyDescent="0.25">
      <c r="A321" s="1" t="s">
        <v>184</v>
      </c>
      <c r="B321" s="1" t="s">
        <v>670</v>
      </c>
      <c r="C321" s="1" t="s">
        <v>671</v>
      </c>
      <c r="D321" s="44"/>
      <c r="E321" s="1" t="s">
        <v>672</v>
      </c>
      <c r="F321" s="1" t="s">
        <v>195</v>
      </c>
      <c r="G321" s="1" t="s">
        <v>24</v>
      </c>
      <c r="H321" s="26">
        <v>100</v>
      </c>
      <c r="I321" s="27" t="str">
        <f>HYPERLINK("https://doc.morningstar.com/Document/e424733debf224bbc5a54a896976182b.msdoc?clientid=fnz&amp;key=9c0e4d166b60ffd3","TMD")</f>
        <v>TMD</v>
      </c>
      <c r="J321" t="s">
        <v>25</v>
      </c>
      <c r="K321" s="1" t="s">
        <v>25</v>
      </c>
      <c r="L321" s="1" t="s">
        <v>25</v>
      </c>
      <c r="M321" s="1" t="s">
        <v>25</v>
      </c>
      <c r="N321" s="1" t="s">
        <v>26</v>
      </c>
      <c r="O321" s="1" t="s">
        <v>27</v>
      </c>
      <c r="P321" s="1" t="s">
        <v>26</v>
      </c>
      <c r="Q321" s="1" t="s">
        <v>26</v>
      </c>
    </row>
    <row r="322" spans="1:17" ht="16.5" customHeight="1" x14ac:dyDescent="0.25">
      <c r="A322" s="1" t="s">
        <v>58</v>
      </c>
      <c r="B322" s="1" t="s">
        <v>673</v>
      </c>
      <c r="C322" s="1" t="s">
        <v>674</v>
      </c>
      <c r="D322" s="44"/>
      <c r="E322" s="1" t="s">
        <v>40</v>
      </c>
      <c r="F322" s="1" t="s">
        <v>24</v>
      </c>
      <c r="G322" s="1" t="s">
        <v>24</v>
      </c>
      <c r="H322" s="26">
        <v>100</v>
      </c>
      <c r="I322" s="27" t="str">
        <f>HYPERLINK("https://doc.morningstar.com/Document/0338942b20b8d9d0bc9c172cc2591c58.msdoc?clientid=fnz&amp;key=9c0e4d166b60ffd3","TMD")</f>
        <v>TMD</v>
      </c>
      <c r="J322" t="s">
        <v>25</v>
      </c>
      <c r="K322" s="1" t="s">
        <v>25</v>
      </c>
      <c r="L322" s="1" t="s">
        <v>25</v>
      </c>
      <c r="M322" s="1" t="s">
        <v>25</v>
      </c>
      <c r="N322" s="1" t="s">
        <v>26</v>
      </c>
      <c r="O322" s="1" t="s">
        <v>26</v>
      </c>
      <c r="P322" s="1" t="s">
        <v>26</v>
      </c>
      <c r="Q322" s="1" t="s">
        <v>27</v>
      </c>
    </row>
    <row r="323" spans="1:17" ht="16.5" customHeight="1" x14ac:dyDescent="0.25">
      <c r="A323" s="1" t="s">
        <v>109</v>
      </c>
      <c r="B323" s="1" t="s">
        <v>675</v>
      </c>
      <c r="C323" s="1" t="s">
        <v>676</v>
      </c>
      <c r="D323" s="44"/>
      <c r="E323" s="1" t="s">
        <v>40</v>
      </c>
      <c r="F323" s="1" t="s">
        <v>24</v>
      </c>
      <c r="G323" s="1" t="s">
        <v>24</v>
      </c>
      <c r="H323" s="26">
        <v>100</v>
      </c>
      <c r="I323" s="27" t="str">
        <f>HYPERLINK("https://doc.morningstar.com/Document/0338942b20b8d9d0e2ae198fecdf9776.msdoc?clientid=fnz&amp;key=9c0e4d166b60ffd3","TMD")</f>
        <v>TMD</v>
      </c>
      <c r="J323" t="s">
        <v>25</v>
      </c>
      <c r="K323" s="1" t="s">
        <v>25</v>
      </c>
      <c r="L323" s="1" t="s">
        <v>25</v>
      </c>
      <c r="M323" s="1" t="s">
        <v>25</v>
      </c>
      <c r="N323" s="1" t="s">
        <v>26</v>
      </c>
      <c r="O323" s="1" t="s">
        <v>26</v>
      </c>
      <c r="P323" s="1" t="s">
        <v>27</v>
      </c>
      <c r="Q323" s="1" t="s">
        <v>27</v>
      </c>
    </row>
    <row r="324" spans="1:17" ht="16.5" customHeight="1" x14ac:dyDescent="0.25">
      <c r="A324" s="1" t="s">
        <v>20</v>
      </c>
      <c r="B324" s="1" t="s">
        <v>677</v>
      </c>
      <c r="C324" s="1" t="s">
        <v>678</v>
      </c>
      <c r="D324" s="44"/>
      <c r="E324" s="1" t="s">
        <v>40</v>
      </c>
      <c r="F324" s="1" t="s">
        <v>24</v>
      </c>
      <c r="G324" s="1" t="s">
        <v>24</v>
      </c>
      <c r="H324" s="26">
        <v>30</v>
      </c>
      <c r="I324" s="27" t="str">
        <f>HYPERLINK("https://doc.morningstar.com/Document/0e0b8ed83d5a252f29cf387d11ee2b33.msdoc?clientid=fnz&amp;key=9c0e4d166b60ffd3","TMD")</f>
        <v>TMD</v>
      </c>
      <c r="J324" t="s">
        <v>25</v>
      </c>
      <c r="K324" s="1" t="s">
        <v>25</v>
      </c>
      <c r="L324" s="1" t="s">
        <v>25</v>
      </c>
      <c r="M324" s="1" t="s">
        <v>25</v>
      </c>
      <c r="N324" s="1" t="s">
        <v>26</v>
      </c>
      <c r="O324" s="1" t="s">
        <v>26</v>
      </c>
      <c r="P324" s="1" t="s">
        <v>26</v>
      </c>
      <c r="Q324" s="1" t="s">
        <v>27</v>
      </c>
    </row>
    <row r="325" spans="1:17" ht="16.5" customHeight="1" x14ac:dyDescent="0.25">
      <c r="A325" s="1" t="s">
        <v>52</v>
      </c>
      <c r="B325" s="1" t="s">
        <v>679</v>
      </c>
      <c r="C325" s="1" t="s">
        <v>680</v>
      </c>
      <c r="D325" s="44"/>
      <c r="E325" s="1" t="s">
        <v>40</v>
      </c>
      <c r="F325" s="1" t="s">
        <v>24</v>
      </c>
      <c r="G325" s="1" t="s">
        <v>24</v>
      </c>
      <c r="H325" s="26">
        <v>100</v>
      </c>
      <c r="I325" s="27" t="str">
        <f>HYPERLINK("https://doc.morningstar.com/Document/32616c00ea21091ccecd91694204db58.msdoc?clientid=fnz&amp;key=9c0e4d166b60ffd3","TMD")</f>
        <v>TMD</v>
      </c>
      <c r="J325" t="s">
        <v>25</v>
      </c>
      <c r="K325" s="1" t="s">
        <v>25</v>
      </c>
      <c r="L325" s="1" t="s">
        <v>25</v>
      </c>
      <c r="M325" s="1" t="s">
        <v>25</v>
      </c>
      <c r="N325" s="1" t="s">
        <v>26</v>
      </c>
      <c r="O325" s="1" t="s">
        <v>27</v>
      </c>
      <c r="P325" s="1" t="s">
        <v>27</v>
      </c>
      <c r="Q325" s="1" t="s">
        <v>26</v>
      </c>
    </row>
    <row r="326" spans="1:17" ht="16.5" customHeight="1" x14ac:dyDescent="0.25">
      <c r="A326" s="1" t="s">
        <v>37</v>
      </c>
      <c r="B326" s="1" t="s">
        <v>681</v>
      </c>
      <c r="C326" s="1" t="s">
        <v>682</v>
      </c>
      <c r="D326" s="44"/>
      <c r="E326" s="1" t="s">
        <v>23</v>
      </c>
      <c r="F326" s="1" t="s">
        <v>24</v>
      </c>
      <c r="G326" s="1" t="s">
        <v>24</v>
      </c>
      <c r="H326" s="26">
        <v>50</v>
      </c>
      <c r="I326" s="27" t="str">
        <f>HYPERLINK("https://doc.morningstar.com/Document/ab3a66f93d5c16383514873be6254577.msdoc?clientid=fnz&amp;key=9c0e4d166b60ffd3","TMD")</f>
        <v>TMD</v>
      </c>
      <c r="J326" t="s">
        <v>25</v>
      </c>
      <c r="K326" s="1" t="s">
        <v>25</v>
      </c>
      <c r="L326" s="1" t="s">
        <v>25</v>
      </c>
      <c r="M326" s="1" t="s">
        <v>25</v>
      </c>
      <c r="N326" s="1" t="s">
        <v>25</v>
      </c>
      <c r="O326" s="1" t="s">
        <v>25</v>
      </c>
      <c r="P326" s="1" t="s">
        <v>25</v>
      </c>
      <c r="Q326" s="1" t="s">
        <v>25</v>
      </c>
    </row>
    <row r="327" spans="1:17" ht="16.5" customHeight="1" x14ac:dyDescent="0.25">
      <c r="A327" s="1" t="s">
        <v>52</v>
      </c>
      <c r="B327" s="1" t="s">
        <v>683</v>
      </c>
      <c r="C327" s="1" t="s">
        <v>684</v>
      </c>
      <c r="D327" s="44"/>
      <c r="E327" s="1" t="s">
        <v>40</v>
      </c>
      <c r="F327" s="1" t="s">
        <v>24</v>
      </c>
      <c r="G327" s="1" t="s">
        <v>24</v>
      </c>
      <c r="H327" s="26">
        <v>100</v>
      </c>
      <c r="I327" s="27" t="str">
        <f>HYPERLINK("https://doc.morningstar.com/Document/9df2c9fc554daeaaad938b64f185fcea.msdoc?clientid=fnz&amp;key=9c0e4d166b60ffd3","TMD")</f>
        <v>TMD</v>
      </c>
      <c r="J327" t="s">
        <v>25</v>
      </c>
      <c r="K327" s="1" t="s">
        <v>25</v>
      </c>
      <c r="L327" s="1" t="s">
        <v>25</v>
      </c>
      <c r="M327" s="1" t="s">
        <v>25</v>
      </c>
      <c r="N327" s="1" t="s">
        <v>26</v>
      </c>
      <c r="O327" s="1" t="s">
        <v>27</v>
      </c>
      <c r="P327" s="1" t="s">
        <v>27</v>
      </c>
      <c r="Q327" s="1" t="s">
        <v>26</v>
      </c>
    </row>
    <row r="328" spans="1:17" ht="16.5" customHeight="1" x14ac:dyDescent="0.25">
      <c r="A328" s="1" t="s">
        <v>65</v>
      </c>
      <c r="B328" s="1" t="s">
        <v>685</v>
      </c>
      <c r="C328" s="1" t="s">
        <v>686</v>
      </c>
      <c r="D328" s="44"/>
      <c r="E328" s="1" t="s">
        <v>40</v>
      </c>
      <c r="F328" s="1" t="s">
        <v>24</v>
      </c>
      <c r="G328" s="1" t="s">
        <v>24</v>
      </c>
      <c r="H328" s="26">
        <v>100</v>
      </c>
      <c r="I328" s="27" t="str">
        <f>HYPERLINK("https://doc.morningstar.com/Document/94ed45f1795627101cb5507d80adbbd4.msdoc?clientid=fnz&amp;key=9c0e4d166b60ffd3","TMD")</f>
        <v>TMD</v>
      </c>
      <c r="J328" t="s">
        <v>25</v>
      </c>
      <c r="K328" s="1" t="s">
        <v>25</v>
      </c>
      <c r="L328" s="1" t="s">
        <v>25</v>
      </c>
      <c r="M328" s="1" t="s">
        <v>25</v>
      </c>
      <c r="N328" s="1" t="s">
        <v>26</v>
      </c>
      <c r="O328" s="1" t="s">
        <v>27</v>
      </c>
      <c r="P328" s="1" t="s">
        <v>26</v>
      </c>
      <c r="Q328" s="1" t="s">
        <v>26</v>
      </c>
    </row>
    <row r="329" spans="1:17" ht="16.5" customHeight="1" x14ac:dyDescent="0.25">
      <c r="A329" s="1" t="s">
        <v>109</v>
      </c>
      <c r="B329" s="1" t="s">
        <v>687</v>
      </c>
      <c r="C329" s="1" t="s">
        <v>688</v>
      </c>
      <c r="D329" s="44"/>
      <c r="E329" s="1" t="s">
        <v>40</v>
      </c>
      <c r="F329" s="1" t="s">
        <v>24</v>
      </c>
      <c r="G329" s="1" t="s">
        <v>24</v>
      </c>
      <c r="H329" s="26">
        <v>100</v>
      </c>
      <c r="I329" s="27" t="str">
        <f>HYPERLINK("https://doc.morningstar.com/Document/cb8191df8ce0f2b2e0580cf003c86969.msdoc?clientid=fnz&amp;key=9c0e4d166b60ffd3","TMD")</f>
        <v>TMD</v>
      </c>
      <c r="J329" t="s">
        <v>25</v>
      </c>
      <c r="K329" s="1" t="s">
        <v>25</v>
      </c>
      <c r="L329" s="1" t="s">
        <v>25</v>
      </c>
      <c r="M329" s="1" t="s">
        <v>25</v>
      </c>
      <c r="N329" s="1" t="s">
        <v>26</v>
      </c>
      <c r="O329" s="1" t="s">
        <v>26</v>
      </c>
      <c r="P329" s="1" t="s">
        <v>27</v>
      </c>
      <c r="Q329" s="1" t="s">
        <v>27</v>
      </c>
    </row>
    <row r="330" spans="1:17" ht="16.5" customHeight="1" x14ac:dyDescent="0.25">
      <c r="A330" s="1" t="s">
        <v>109</v>
      </c>
      <c r="B330" s="1" t="s">
        <v>689</v>
      </c>
      <c r="C330" s="1" t="s">
        <v>690</v>
      </c>
      <c r="D330" s="44"/>
      <c r="E330" s="1" t="s">
        <v>40</v>
      </c>
      <c r="F330" s="1" t="s">
        <v>24</v>
      </c>
      <c r="G330" s="1" t="s">
        <v>24</v>
      </c>
      <c r="H330" s="26">
        <v>100</v>
      </c>
      <c r="I330" s="27" t="str">
        <f>HYPERLINK("https://doc.morningstar.com/Document/9dc3ec2e9b3ef5b4e822d9880a3e94e1.msdoc?clientid=fnz&amp;key=9c0e4d166b60ffd3","TMD")</f>
        <v>TMD</v>
      </c>
      <c r="J330" t="s">
        <v>25</v>
      </c>
      <c r="K330" s="1" t="s">
        <v>25</v>
      </c>
      <c r="L330" s="1" t="s">
        <v>25</v>
      </c>
      <c r="M330" s="1" t="s">
        <v>25</v>
      </c>
      <c r="N330" s="1" t="s">
        <v>26</v>
      </c>
      <c r="O330" s="1" t="s">
        <v>26</v>
      </c>
      <c r="P330" s="1" t="s">
        <v>27</v>
      </c>
      <c r="Q330" s="1" t="s">
        <v>27</v>
      </c>
    </row>
    <row r="331" spans="1:17" ht="16.5" customHeight="1" x14ac:dyDescent="0.25">
      <c r="A331" s="1" t="s">
        <v>58</v>
      </c>
      <c r="B331" s="1" t="s">
        <v>691</v>
      </c>
      <c r="C331" s="1" t="s">
        <v>692</v>
      </c>
      <c r="D331" s="44"/>
      <c r="E331" s="1" t="s">
        <v>23</v>
      </c>
      <c r="F331" s="1" t="s">
        <v>24</v>
      </c>
      <c r="G331" s="1" t="s">
        <v>24</v>
      </c>
      <c r="H331" s="26">
        <v>100</v>
      </c>
      <c r="I331" s="27" t="str">
        <f>HYPERLINK("https://doc.morningstar.com/Document/733a03884dec0f143a86f3c67045e360.msdoc?clientid=fnz&amp;key=9c0e4d166b60ffd3","TMD")</f>
        <v>TMD</v>
      </c>
      <c r="J331" t="s">
        <v>25</v>
      </c>
      <c r="K331" s="1" t="s">
        <v>25</v>
      </c>
      <c r="L331" s="1" t="s">
        <v>25</v>
      </c>
      <c r="M331" s="1" t="s">
        <v>25</v>
      </c>
      <c r="N331" s="1" t="s">
        <v>26</v>
      </c>
      <c r="O331" s="1" t="s">
        <v>26</v>
      </c>
      <c r="P331" s="1" t="s">
        <v>26</v>
      </c>
      <c r="Q331" s="1" t="s">
        <v>27</v>
      </c>
    </row>
    <row r="332" spans="1:17" ht="16.5" customHeight="1" x14ac:dyDescent="0.25">
      <c r="A332" s="1" t="s">
        <v>225</v>
      </c>
      <c r="B332" s="1" t="s">
        <v>693</v>
      </c>
      <c r="C332" s="1" t="s">
        <v>694</v>
      </c>
      <c r="D332" s="44"/>
      <c r="E332" s="1" t="s">
        <v>23</v>
      </c>
      <c r="F332" s="1" t="s">
        <v>24</v>
      </c>
      <c r="G332" s="1" t="s">
        <v>24</v>
      </c>
      <c r="H332" s="26">
        <v>30</v>
      </c>
      <c r="I332" s="27" t="str">
        <f>HYPERLINK("https://doc.morningstar.com/Document/50be49fd686f483f729c53e235226990.msdoc?clientid=fnz&amp;key=9c0e4d166b60ffd3","TMD")</f>
        <v>TMD</v>
      </c>
      <c r="J332" t="s">
        <v>62</v>
      </c>
      <c r="K332" s="1" t="s">
        <v>25</v>
      </c>
      <c r="L332" s="1" t="s">
        <v>25</v>
      </c>
      <c r="M332" s="1" t="s">
        <v>25</v>
      </c>
      <c r="N332" s="1" t="s">
        <v>26</v>
      </c>
      <c r="O332" s="1" t="s">
        <v>26</v>
      </c>
      <c r="P332" s="1" t="s">
        <v>27</v>
      </c>
      <c r="Q332" s="1" t="s">
        <v>27</v>
      </c>
    </row>
    <row r="333" spans="1:17" ht="16.5" customHeight="1" x14ac:dyDescent="0.25">
      <c r="A333" s="1" t="s">
        <v>184</v>
      </c>
      <c r="B333" s="1" t="s">
        <v>695</v>
      </c>
      <c r="C333" s="1" t="s">
        <v>696</v>
      </c>
      <c r="D333" s="44"/>
      <c r="E333" s="1" t="s">
        <v>40</v>
      </c>
      <c r="F333" s="1" t="s">
        <v>24</v>
      </c>
      <c r="G333" s="1" t="s">
        <v>24</v>
      </c>
      <c r="H333" s="26">
        <v>100</v>
      </c>
      <c r="I333" s="27" t="str">
        <f>HYPERLINK("https://doc.morningstar.com/Document/a9fb27c64c84eb7278f7b4a327424702.msdoc?clientid=fnz&amp;key=9c0e4d166b60ffd3","TMD")</f>
        <v>TMD</v>
      </c>
      <c r="J333" t="s">
        <v>25</v>
      </c>
      <c r="K333" s="1" t="s">
        <v>25</v>
      </c>
      <c r="L333" s="1" t="s">
        <v>25</v>
      </c>
      <c r="M333" s="1" t="s">
        <v>25</v>
      </c>
      <c r="N333" s="1" t="s">
        <v>26</v>
      </c>
      <c r="O333" s="1" t="s">
        <v>27</v>
      </c>
      <c r="P333" s="1" t="s">
        <v>26</v>
      </c>
      <c r="Q333" s="1" t="s">
        <v>26</v>
      </c>
    </row>
    <row r="334" spans="1:17" ht="16.5" customHeight="1" x14ac:dyDescent="0.25">
      <c r="A334" s="1" t="s">
        <v>109</v>
      </c>
      <c r="B334" s="1" t="s">
        <v>697</v>
      </c>
      <c r="C334" s="1" t="s">
        <v>698</v>
      </c>
      <c r="D334" s="44"/>
      <c r="E334" s="1" t="s">
        <v>40</v>
      </c>
      <c r="F334" s="1" t="s">
        <v>24</v>
      </c>
      <c r="G334" s="1" t="s">
        <v>24</v>
      </c>
      <c r="H334" s="26">
        <v>100</v>
      </c>
      <c r="I334" s="27" t="str">
        <f>HYPERLINK("https://doc.morningstar.com/Document/94ed45f17956271048c95a50422b2237.msdoc?clientid=fnz&amp;key=9c0e4d166b60ffd3","TMD")</f>
        <v>TMD</v>
      </c>
      <c r="J334" t="s">
        <v>25</v>
      </c>
      <c r="K334" s="1" t="s">
        <v>25</v>
      </c>
      <c r="L334" s="1" t="s">
        <v>25</v>
      </c>
      <c r="M334" s="1" t="s">
        <v>25</v>
      </c>
      <c r="N334" s="1" t="s">
        <v>26</v>
      </c>
      <c r="O334" s="1" t="s">
        <v>26</v>
      </c>
      <c r="P334" s="1" t="s">
        <v>27</v>
      </c>
      <c r="Q334" s="1" t="s">
        <v>27</v>
      </c>
    </row>
    <row r="335" spans="1:17" ht="16.5" customHeight="1" x14ac:dyDescent="0.25">
      <c r="A335" s="1" t="s">
        <v>34</v>
      </c>
      <c r="B335" s="1" t="s">
        <v>699</v>
      </c>
      <c r="C335" s="1" t="s">
        <v>700</v>
      </c>
      <c r="D335" s="44"/>
      <c r="E335" s="1" t="s">
        <v>23</v>
      </c>
      <c r="F335" s="1" t="s">
        <v>24</v>
      </c>
      <c r="G335" s="1" t="s">
        <v>24</v>
      </c>
      <c r="H335" s="26">
        <v>30</v>
      </c>
      <c r="I335" s="27" t="str">
        <f>HYPERLINK("https://doc.morningstar.com/Document/e694437d4b9481c2c4f05aa4db0a5d45.msdoc?clientid=fnz&amp;key=9c0e4d166b60ffd3","TMD")</f>
        <v>TMD</v>
      </c>
      <c r="J335" t="s">
        <v>25</v>
      </c>
      <c r="K335" s="1" t="s">
        <v>25</v>
      </c>
      <c r="L335" s="1" t="s">
        <v>25</v>
      </c>
      <c r="M335" s="1" t="s">
        <v>25</v>
      </c>
      <c r="N335" s="1" t="s">
        <v>26</v>
      </c>
      <c r="O335" s="1" t="s">
        <v>26</v>
      </c>
      <c r="P335" s="1" t="s">
        <v>27</v>
      </c>
      <c r="Q335" s="1" t="s">
        <v>27</v>
      </c>
    </row>
    <row r="336" spans="1:17" ht="16.5" customHeight="1" x14ac:dyDescent="0.25">
      <c r="A336" s="1" t="s">
        <v>20</v>
      </c>
      <c r="B336" s="1" t="s">
        <v>701</v>
      </c>
      <c r="C336" s="1" t="s">
        <v>702</v>
      </c>
      <c r="D336" s="44"/>
      <c r="E336" s="1" t="s">
        <v>23</v>
      </c>
      <c r="F336" s="1" t="s">
        <v>24</v>
      </c>
      <c r="G336" s="1" t="s">
        <v>24</v>
      </c>
      <c r="H336" s="26">
        <v>30</v>
      </c>
      <c r="I336" s="27" t="str">
        <f>HYPERLINK("https://doc.morningstar.com/Document/24cbab78eca4f74d309a82cd4999b95a.msdoc?clientid=fnz&amp;key=9c0e4d166b60ffd3","TMD")</f>
        <v>TMD</v>
      </c>
      <c r="J336" t="s">
        <v>25</v>
      </c>
      <c r="K336" s="1" t="s">
        <v>25</v>
      </c>
      <c r="L336" s="1" t="s">
        <v>25</v>
      </c>
      <c r="M336" s="1" t="s">
        <v>25</v>
      </c>
      <c r="N336" s="1" t="s">
        <v>26</v>
      </c>
      <c r="O336" s="1" t="s">
        <v>26</v>
      </c>
      <c r="P336" s="1" t="s">
        <v>26</v>
      </c>
      <c r="Q336" s="1" t="s">
        <v>27</v>
      </c>
    </row>
    <row r="337" spans="1:17" ht="16.5" customHeight="1" x14ac:dyDescent="0.25">
      <c r="A337" s="1" t="s">
        <v>318</v>
      </c>
      <c r="B337" s="1" t="s">
        <v>703</v>
      </c>
      <c r="C337" s="1" t="s">
        <v>704</v>
      </c>
      <c r="D337" s="44"/>
      <c r="E337" s="1" t="s">
        <v>45</v>
      </c>
      <c r="F337" s="1" t="s">
        <v>24</v>
      </c>
      <c r="G337" s="1" t="s">
        <v>24</v>
      </c>
      <c r="H337" s="26">
        <v>100</v>
      </c>
      <c r="I337" s="27" t="str">
        <f>HYPERLINK("https://doc.morningstar.com/Document/8d0576bed6b15c3843bb007ee104724a.msdoc?clientid=fnz&amp;key=9c0e4d166b60ffd3","TMD")</f>
        <v>TMD</v>
      </c>
      <c r="J337" t="s">
        <v>25</v>
      </c>
      <c r="K337" s="1" t="s">
        <v>25</v>
      </c>
      <c r="L337" s="1" t="s">
        <v>25</v>
      </c>
      <c r="M337" s="1" t="s">
        <v>25</v>
      </c>
      <c r="N337" s="1" t="s">
        <v>27</v>
      </c>
      <c r="O337" s="1" t="s">
        <v>26</v>
      </c>
      <c r="P337" s="1" t="s">
        <v>26</v>
      </c>
      <c r="Q337" s="1" t="s">
        <v>26</v>
      </c>
    </row>
    <row r="338" spans="1:17" ht="16.5" customHeight="1" x14ac:dyDescent="0.25">
      <c r="A338" s="1" t="s">
        <v>705</v>
      </c>
      <c r="B338" s="1" t="s">
        <v>706</v>
      </c>
      <c r="C338" s="1" t="s">
        <v>707</v>
      </c>
      <c r="D338" s="44"/>
      <c r="E338" s="1" t="s">
        <v>45</v>
      </c>
      <c r="F338" s="1" t="s">
        <v>24</v>
      </c>
      <c r="G338" s="1" t="s">
        <v>24</v>
      </c>
      <c r="H338" s="26">
        <v>100</v>
      </c>
      <c r="I338" s="27" t="str">
        <f>HYPERLINK("https://doc.morningstar.com/Document/183bad77ae1244c53a17f3ce6c851ba8.msdoc?clientid=fnz&amp;key=9c0e4d166b60ffd3","TMD")</f>
        <v>TMD</v>
      </c>
      <c r="J338" t="s">
        <v>25</v>
      </c>
      <c r="K338" s="1" t="s">
        <v>25</v>
      </c>
      <c r="L338" s="1" t="s">
        <v>25</v>
      </c>
      <c r="M338" s="1" t="s">
        <v>25</v>
      </c>
      <c r="N338" s="1" t="s">
        <v>27</v>
      </c>
      <c r="O338" s="1" t="s">
        <v>26</v>
      </c>
      <c r="P338" s="1" t="s">
        <v>26</v>
      </c>
      <c r="Q338" s="1" t="s">
        <v>26</v>
      </c>
    </row>
    <row r="339" spans="1:17" ht="16.5" customHeight="1" x14ac:dyDescent="0.25">
      <c r="A339" s="1" t="s">
        <v>141</v>
      </c>
      <c r="B339" s="1" t="s">
        <v>708</v>
      </c>
      <c r="C339" s="1" t="s">
        <v>709</v>
      </c>
      <c r="D339" s="44"/>
      <c r="E339" s="1" t="s">
        <v>428</v>
      </c>
      <c r="F339" s="1" t="s">
        <v>24</v>
      </c>
      <c r="G339" s="1" t="s">
        <v>24</v>
      </c>
      <c r="H339" s="26">
        <v>20</v>
      </c>
      <c r="I339" s="27" t="str">
        <f>HYPERLINK("https://doc.morningstar.com/Document/ce03b87a58b5f404a5fde3d062483981.msdoc?clientid=fnz&amp;key=9c0e4d166b60ffd3","TMD")</f>
        <v>TMD</v>
      </c>
      <c r="J339" t="s">
        <v>25</v>
      </c>
      <c r="K339" s="1" t="s">
        <v>25</v>
      </c>
      <c r="L339" s="1" t="s">
        <v>25</v>
      </c>
      <c r="M339" s="1" t="s">
        <v>25</v>
      </c>
      <c r="N339" s="1" t="s">
        <v>26</v>
      </c>
      <c r="O339" s="1" t="s">
        <v>26</v>
      </c>
      <c r="P339" s="1" t="s">
        <v>27</v>
      </c>
      <c r="Q339" s="1" t="s">
        <v>27</v>
      </c>
    </row>
    <row r="340" spans="1:17" ht="16.5" customHeight="1" x14ac:dyDescent="0.25">
      <c r="A340" s="1" t="s">
        <v>58</v>
      </c>
      <c r="B340" s="1" t="s">
        <v>710</v>
      </c>
      <c r="C340" s="1" t="s">
        <v>711</v>
      </c>
      <c r="D340" s="44"/>
      <c r="E340" s="1" t="s">
        <v>40</v>
      </c>
      <c r="F340" s="1" t="s">
        <v>24</v>
      </c>
      <c r="G340" s="1" t="s">
        <v>24</v>
      </c>
      <c r="H340" s="26">
        <v>100</v>
      </c>
      <c r="I340" s="27" t="str">
        <f>HYPERLINK("https://doc.morningstar.com/Document/ece30ff943b915017e92de383a587529.msdoc?clientid=fnz&amp;key=9c0e4d166b60ffd3","TMD")</f>
        <v>TMD</v>
      </c>
      <c r="J340" t="s">
        <v>25</v>
      </c>
      <c r="K340" s="1" t="s">
        <v>25</v>
      </c>
      <c r="L340" s="1" t="s">
        <v>25</v>
      </c>
      <c r="M340" s="1" t="s">
        <v>25</v>
      </c>
      <c r="N340" s="1" t="s">
        <v>26</v>
      </c>
      <c r="O340" s="1" t="s">
        <v>26</v>
      </c>
      <c r="P340" s="1" t="s">
        <v>27</v>
      </c>
      <c r="Q340" s="1" t="s">
        <v>26</v>
      </c>
    </row>
    <row r="341" spans="1:17" ht="16.5" customHeight="1" x14ac:dyDescent="0.25">
      <c r="A341" s="1" t="s">
        <v>58</v>
      </c>
      <c r="B341" s="1" t="s">
        <v>712</v>
      </c>
      <c r="C341" s="1" t="s">
        <v>713</v>
      </c>
      <c r="D341" s="44"/>
      <c r="E341" s="1" t="s">
        <v>40</v>
      </c>
      <c r="F341" s="1" t="s">
        <v>24</v>
      </c>
      <c r="G341" s="1" t="s">
        <v>24</v>
      </c>
      <c r="H341" s="26">
        <v>100</v>
      </c>
      <c r="I341" s="27" t="str">
        <f>HYPERLINK("https://doc.morningstar.com/Document/2133de6a37e91fb333867fd54e22c8da.msdoc?clientid=fnz&amp;key=9c0e4d166b60ffd3","TMD")</f>
        <v>TMD</v>
      </c>
      <c r="J341" t="s">
        <v>25</v>
      </c>
      <c r="K341" s="1" t="s">
        <v>25</v>
      </c>
      <c r="L341" s="1" t="s">
        <v>25</v>
      </c>
      <c r="M341" s="1" t="s">
        <v>25</v>
      </c>
      <c r="N341" s="1" t="s">
        <v>26</v>
      </c>
      <c r="O341" s="1" t="s">
        <v>26</v>
      </c>
      <c r="P341" s="1" t="s">
        <v>27</v>
      </c>
      <c r="Q341" s="1" t="s">
        <v>26</v>
      </c>
    </row>
    <row r="342" spans="1:17" ht="16.5" customHeight="1" x14ac:dyDescent="0.25">
      <c r="A342" s="1" t="s">
        <v>52</v>
      </c>
      <c r="B342" s="1" t="s">
        <v>714</v>
      </c>
      <c r="C342" s="1" t="s">
        <v>715</v>
      </c>
      <c r="D342" s="44"/>
      <c r="E342" s="1" t="s">
        <v>40</v>
      </c>
      <c r="F342" s="1" t="s">
        <v>24</v>
      </c>
      <c r="G342" s="1" t="s">
        <v>24</v>
      </c>
      <c r="H342" s="26">
        <v>100</v>
      </c>
      <c r="I342" s="27" t="str">
        <f>HYPERLINK("https://doc.morningstar.com/Document/27ea8a414543fdd7b512fc30a07a88be.msdoc?clientid=fnz&amp;key=9c0e4d166b60ffd3","TMD")</f>
        <v>TMD</v>
      </c>
      <c r="J342" t="s">
        <v>62</v>
      </c>
      <c r="K342" s="1" t="s">
        <v>25</v>
      </c>
      <c r="L342" s="1" t="s">
        <v>25</v>
      </c>
      <c r="M342" s="1" t="s">
        <v>25</v>
      </c>
      <c r="N342" s="1" t="s">
        <v>26</v>
      </c>
      <c r="O342" s="1" t="s">
        <v>27</v>
      </c>
      <c r="P342" s="1" t="s">
        <v>26</v>
      </c>
      <c r="Q342" s="1" t="s">
        <v>26</v>
      </c>
    </row>
    <row r="343" spans="1:17" ht="16.5" customHeight="1" x14ac:dyDescent="0.25">
      <c r="A343" s="1" t="s">
        <v>28</v>
      </c>
      <c r="B343" s="1" t="s">
        <v>716</v>
      </c>
      <c r="C343" s="1" t="s">
        <v>717</v>
      </c>
      <c r="D343" s="44"/>
      <c r="E343" s="1" t="s">
        <v>61</v>
      </c>
      <c r="F343" s="1" t="s">
        <v>24</v>
      </c>
      <c r="G343" s="1" t="s">
        <v>24</v>
      </c>
      <c r="H343" s="26">
        <v>30</v>
      </c>
      <c r="I343" s="27" t="str">
        <f>HYPERLINK("https://doc.morningstar.com/Document/c11821d896730f49f4553dd66ae14b41.msdoc?clientid=fnz&amp;key=9c0e4d166b60ffd3","TMD")</f>
        <v>TMD</v>
      </c>
      <c r="J343" t="s">
        <v>25</v>
      </c>
      <c r="K343" s="1" t="s">
        <v>25</v>
      </c>
      <c r="L343" s="1" t="s">
        <v>25</v>
      </c>
      <c r="M343" s="1" t="s">
        <v>25</v>
      </c>
      <c r="N343" s="1" t="s">
        <v>26</v>
      </c>
      <c r="O343" s="1" t="s">
        <v>26</v>
      </c>
      <c r="P343" s="1" t="s">
        <v>26</v>
      </c>
      <c r="Q343" s="1" t="s">
        <v>27</v>
      </c>
    </row>
    <row r="344" spans="1:17" ht="16.5" customHeight="1" x14ac:dyDescent="0.25">
      <c r="A344" s="1" t="s">
        <v>225</v>
      </c>
      <c r="B344" s="1" t="s">
        <v>718</v>
      </c>
      <c r="C344" s="1" t="s">
        <v>719</v>
      </c>
      <c r="D344" s="44"/>
      <c r="E344" s="1" t="s">
        <v>61</v>
      </c>
      <c r="F344" s="1" t="s">
        <v>24</v>
      </c>
      <c r="G344" s="1" t="s">
        <v>24</v>
      </c>
      <c r="H344" s="26">
        <v>30</v>
      </c>
      <c r="I344" s="27" t="str">
        <f>HYPERLINK("https://doc.morningstar.com/Document/4e99cd9ada575ba1197cbeae00f1e0cf.msdoc?clientid=fnz&amp;key=9c0e4d166b60ffd3","TMD")</f>
        <v>TMD</v>
      </c>
      <c r="J344" t="s">
        <v>25</v>
      </c>
      <c r="K344" s="1" t="s">
        <v>25</v>
      </c>
      <c r="L344" s="1" t="s">
        <v>25</v>
      </c>
      <c r="M344" s="1" t="s">
        <v>25</v>
      </c>
      <c r="N344" s="1" t="s">
        <v>26</v>
      </c>
      <c r="O344" s="1" t="s">
        <v>26</v>
      </c>
      <c r="P344" s="1" t="s">
        <v>26</v>
      </c>
      <c r="Q344" s="1" t="s">
        <v>27</v>
      </c>
    </row>
    <row r="345" spans="1:17" ht="16.5" customHeight="1" x14ac:dyDescent="0.25">
      <c r="A345" s="1" t="s">
        <v>58</v>
      </c>
      <c r="B345" s="1" t="s">
        <v>720</v>
      </c>
      <c r="C345" s="1" t="s">
        <v>721</v>
      </c>
      <c r="D345" s="44"/>
      <c r="E345" s="1" t="s">
        <v>61</v>
      </c>
      <c r="F345" s="1" t="s">
        <v>24</v>
      </c>
      <c r="G345" s="1" t="s">
        <v>24</v>
      </c>
      <c r="H345" s="26">
        <v>100</v>
      </c>
      <c r="I345" s="27" t="str">
        <f>HYPERLINK("https://doc.morningstar.com/Document/f6c1cbe1f8b29b618850c66aa33d002c.msdoc?clientid=fnz&amp;key=9c0e4d166b60ffd3","TMD")</f>
        <v>TMD</v>
      </c>
      <c r="J345" t="s">
        <v>25</v>
      </c>
      <c r="K345" s="1" t="s">
        <v>25</v>
      </c>
      <c r="L345" s="1" t="s">
        <v>25</v>
      </c>
      <c r="M345" s="1" t="s">
        <v>25</v>
      </c>
      <c r="N345" s="1" t="s">
        <v>26</v>
      </c>
      <c r="O345" s="1" t="s">
        <v>26</v>
      </c>
      <c r="P345" s="1" t="s">
        <v>26</v>
      </c>
      <c r="Q345" s="1" t="s">
        <v>27</v>
      </c>
    </row>
    <row r="346" spans="1:17" ht="16.5" customHeight="1" x14ac:dyDescent="0.25">
      <c r="A346" s="1" t="s">
        <v>274</v>
      </c>
      <c r="B346" s="1" t="s">
        <v>722</v>
      </c>
      <c r="C346" s="1" t="s">
        <v>723</v>
      </c>
      <c r="D346" s="44"/>
      <c r="E346" s="1" t="s">
        <v>61</v>
      </c>
      <c r="F346" s="1" t="s">
        <v>24</v>
      </c>
      <c r="G346" s="1" t="s">
        <v>24</v>
      </c>
      <c r="H346" s="26">
        <v>100</v>
      </c>
      <c r="I346" s="27" t="str">
        <f>HYPERLINK("https://doc.morningstar.com/Document/aec476fee03b99445bdb9eca794ded3d.msdoc?clientid=fnz&amp;key=9c0e4d166b60ffd3","TMD")</f>
        <v>TMD</v>
      </c>
      <c r="J346" t="s">
        <v>25</v>
      </c>
      <c r="K346" s="1" t="s">
        <v>26</v>
      </c>
      <c r="L346" s="1" t="s">
        <v>27</v>
      </c>
      <c r="M346" s="1" t="s">
        <v>27</v>
      </c>
      <c r="N346" s="1" t="s">
        <v>26</v>
      </c>
      <c r="O346" s="1" t="s">
        <v>216</v>
      </c>
      <c r="P346" s="1" t="s">
        <v>27</v>
      </c>
      <c r="Q346" s="1" t="s">
        <v>27</v>
      </c>
    </row>
    <row r="347" spans="1:17" ht="16.5" customHeight="1" x14ac:dyDescent="0.25">
      <c r="A347" s="1" t="s">
        <v>37</v>
      </c>
      <c r="B347" s="1" t="s">
        <v>724</v>
      </c>
      <c r="C347" s="1" t="s">
        <v>725</v>
      </c>
      <c r="D347" s="44"/>
      <c r="E347" s="1" t="s">
        <v>40</v>
      </c>
      <c r="F347" s="1" t="s">
        <v>195</v>
      </c>
      <c r="G347" s="1" t="s">
        <v>24</v>
      </c>
      <c r="H347" s="26">
        <v>50</v>
      </c>
      <c r="I347" s="27" t="str">
        <f>HYPERLINK("https://doc.morningstar.com/Document/aec476fee03b9944b8cd815849b11c31.msdoc?clientid=fnz&amp;key=9c0e4d166b60ffd3","TMD")</f>
        <v>TMD</v>
      </c>
      <c r="J347" t="s">
        <v>62</v>
      </c>
      <c r="K347" s="1" t="s">
        <v>26</v>
      </c>
      <c r="L347" s="1" t="s">
        <v>27</v>
      </c>
      <c r="M347" s="1" t="s">
        <v>27</v>
      </c>
      <c r="N347" s="1" t="s">
        <v>26</v>
      </c>
      <c r="O347" s="1" t="s">
        <v>216</v>
      </c>
      <c r="P347" s="1" t="s">
        <v>27</v>
      </c>
      <c r="Q347" s="1" t="s">
        <v>27</v>
      </c>
    </row>
    <row r="348" spans="1:17" ht="16.5" customHeight="1" x14ac:dyDescent="0.25">
      <c r="A348" s="1" t="s">
        <v>55</v>
      </c>
      <c r="B348" s="1" t="s">
        <v>726</v>
      </c>
      <c r="C348" s="1" t="s">
        <v>727</v>
      </c>
      <c r="D348" s="44"/>
      <c r="E348" s="1" t="s">
        <v>45</v>
      </c>
      <c r="F348" s="1" t="s">
        <v>24</v>
      </c>
      <c r="G348" s="1" t="s">
        <v>24</v>
      </c>
      <c r="H348" s="26">
        <v>100</v>
      </c>
      <c r="I348" s="27" t="str">
        <f>HYPERLINK("https://doc.morningstar.com/Document/97544c791a397584d4adbede1f8e8bef.msdoc?clientid=fnz&amp;key=9c0e4d166b60ffd3","TMD")</f>
        <v>TMD</v>
      </c>
      <c r="J348" t="s">
        <v>25</v>
      </c>
      <c r="K348" s="1" t="s">
        <v>25</v>
      </c>
      <c r="L348" s="1" t="s">
        <v>25</v>
      </c>
      <c r="M348" s="1" t="s">
        <v>25</v>
      </c>
      <c r="N348" s="1" t="s">
        <v>26</v>
      </c>
      <c r="O348" s="1" t="s">
        <v>27</v>
      </c>
      <c r="P348" s="1" t="s">
        <v>27</v>
      </c>
      <c r="Q348" s="1" t="s">
        <v>27</v>
      </c>
    </row>
    <row r="349" spans="1:17" ht="16.5" customHeight="1" x14ac:dyDescent="0.25">
      <c r="A349" s="1" t="s">
        <v>141</v>
      </c>
      <c r="B349" s="1" t="s">
        <v>728</v>
      </c>
      <c r="C349" s="1" t="s">
        <v>729</v>
      </c>
      <c r="D349" s="44"/>
      <c r="E349" s="1" t="s">
        <v>61</v>
      </c>
      <c r="F349" s="1" t="s">
        <v>24</v>
      </c>
      <c r="G349" s="1" t="s">
        <v>24</v>
      </c>
      <c r="H349" s="26">
        <v>20</v>
      </c>
      <c r="I349" s="27" t="str">
        <f>HYPERLINK("https://doc.morningstar.com/Document/fc6b797fd65f70f45f7dd0b006c73dff.msdoc?clientid=fnz&amp;key=9c0e4d166b60ffd3","TMD")</f>
        <v>TMD</v>
      </c>
      <c r="J349" t="s">
        <v>62</v>
      </c>
      <c r="K349" s="1" t="s">
        <v>25</v>
      </c>
      <c r="L349" s="1" t="s">
        <v>25</v>
      </c>
      <c r="M349" s="1" t="s">
        <v>25</v>
      </c>
      <c r="N349" s="1" t="s">
        <v>26</v>
      </c>
      <c r="O349" s="1" t="s">
        <v>27</v>
      </c>
      <c r="P349" s="1" t="s">
        <v>27</v>
      </c>
      <c r="Q349" s="1" t="s">
        <v>27</v>
      </c>
    </row>
    <row r="350" spans="1:17" ht="16.5" customHeight="1" x14ac:dyDescent="0.25">
      <c r="A350" s="1" t="s">
        <v>28</v>
      </c>
      <c r="B350" s="1" t="s">
        <v>730</v>
      </c>
      <c r="C350" s="1" t="s">
        <v>731</v>
      </c>
      <c r="D350" s="44"/>
      <c r="E350" s="1" t="s">
        <v>61</v>
      </c>
      <c r="F350" s="1" t="s">
        <v>24</v>
      </c>
      <c r="G350" s="1" t="s">
        <v>24</v>
      </c>
      <c r="H350" s="26">
        <v>30</v>
      </c>
      <c r="I350" s="27" t="str">
        <f>HYPERLINK("https://doc.morningstar.com/Document/2956bab288b19647402401ba4c4e7d55.msdoc?clientid=fnz&amp;key=9c0e4d166b60ffd3","TMD")</f>
        <v>TMD</v>
      </c>
      <c r="J350" t="s">
        <v>25</v>
      </c>
      <c r="K350" s="1" t="s">
        <v>25</v>
      </c>
      <c r="L350" s="1" t="s">
        <v>25</v>
      </c>
      <c r="M350" s="1" t="s">
        <v>25</v>
      </c>
      <c r="N350" s="1" t="s">
        <v>26</v>
      </c>
      <c r="O350" s="1" t="s">
        <v>26</v>
      </c>
      <c r="P350" s="1" t="s">
        <v>27</v>
      </c>
      <c r="Q350" s="1" t="s">
        <v>27</v>
      </c>
    </row>
    <row r="351" spans="1:17" ht="16.5" customHeight="1" x14ac:dyDescent="0.25">
      <c r="A351" s="1" t="s">
        <v>58</v>
      </c>
      <c r="B351" s="1" t="s">
        <v>732</v>
      </c>
      <c r="C351" s="1" t="s">
        <v>733</v>
      </c>
      <c r="D351" s="44"/>
      <c r="E351" s="1" t="s">
        <v>23</v>
      </c>
      <c r="F351" s="1" t="s">
        <v>195</v>
      </c>
      <c r="G351" s="1" t="s">
        <v>24</v>
      </c>
      <c r="H351" s="26">
        <v>100</v>
      </c>
      <c r="I351" s="27" t="str">
        <f>HYPERLINK("https://doc.morningstar.com/Document/5f6cc6dbf977ed837488d73a679fe7b4.msdoc?clientid=fnz&amp;key=9c0e4d166b60ffd3","TMD")</f>
        <v>TMD</v>
      </c>
      <c r="J351" t="s">
        <v>25</v>
      </c>
      <c r="K351" s="1" t="s">
        <v>25</v>
      </c>
      <c r="L351" s="1" t="s">
        <v>25</v>
      </c>
      <c r="M351" s="1" t="s">
        <v>25</v>
      </c>
      <c r="N351" s="1" t="s">
        <v>26</v>
      </c>
      <c r="O351" s="1" t="s">
        <v>26</v>
      </c>
      <c r="P351" s="1" t="s">
        <v>27</v>
      </c>
      <c r="Q351" s="1" t="s">
        <v>27</v>
      </c>
    </row>
    <row r="352" spans="1:17" ht="16.5" customHeight="1" x14ac:dyDescent="0.25">
      <c r="A352" s="1" t="s">
        <v>58</v>
      </c>
      <c r="B352" s="1" t="s">
        <v>734</v>
      </c>
      <c r="C352" s="1" t="s">
        <v>735</v>
      </c>
      <c r="D352" s="44"/>
      <c r="E352" s="1" t="s">
        <v>23</v>
      </c>
      <c r="F352" s="1" t="s">
        <v>24</v>
      </c>
      <c r="G352" s="1" t="s">
        <v>24</v>
      </c>
      <c r="H352" s="26">
        <v>100</v>
      </c>
      <c r="I352" s="27" t="str">
        <f>HYPERLINK("https://doc.morningstar.com/Document/1474f99d48a05a9e1451d150b1d32da1.msdoc?clientid=fnz&amp;key=9c0e4d166b60ffd3","TMD")</f>
        <v>TMD</v>
      </c>
      <c r="J352" t="s">
        <v>25</v>
      </c>
      <c r="K352" s="1" t="s">
        <v>25</v>
      </c>
      <c r="L352" s="1" t="s">
        <v>25</v>
      </c>
      <c r="M352" s="1" t="s">
        <v>25</v>
      </c>
      <c r="N352" s="1" t="s">
        <v>26</v>
      </c>
      <c r="O352" s="1" t="s">
        <v>26</v>
      </c>
      <c r="P352" s="1" t="s">
        <v>27</v>
      </c>
      <c r="Q352" s="1" t="s">
        <v>27</v>
      </c>
    </row>
    <row r="353" spans="1:17" ht="16.5" customHeight="1" x14ac:dyDescent="0.25">
      <c r="A353" s="1" t="s">
        <v>37</v>
      </c>
      <c r="B353" s="1" t="s">
        <v>736</v>
      </c>
      <c r="C353" s="1" t="s">
        <v>737</v>
      </c>
      <c r="D353" s="44"/>
      <c r="E353" s="1" t="s">
        <v>23</v>
      </c>
      <c r="F353" s="1" t="s">
        <v>24</v>
      </c>
      <c r="G353" s="1" t="s">
        <v>24</v>
      </c>
      <c r="H353" s="26">
        <v>50</v>
      </c>
      <c r="I353" s="27" t="str">
        <f>HYPERLINK("https://doc.morningstar.com/Document/fd77799609b7e9cc43346ccd7fb9ddc7.msdoc?clientid=fnz&amp;key=9c0e4d166b60ffd3","TMD")</f>
        <v>TMD</v>
      </c>
      <c r="J353" t="s">
        <v>25</v>
      </c>
      <c r="K353" s="1" t="s">
        <v>25</v>
      </c>
      <c r="L353" s="1" t="s">
        <v>25</v>
      </c>
      <c r="M353" s="1" t="s">
        <v>25</v>
      </c>
      <c r="N353" s="1" t="s">
        <v>26</v>
      </c>
      <c r="O353" s="1" t="s">
        <v>26</v>
      </c>
      <c r="P353" s="1" t="s">
        <v>27</v>
      </c>
      <c r="Q353" s="1" t="s">
        <v>27</v>
      </c>
    </row>
    <row r="354" spans="1:17" ht="16.5" customHeight="1" x14ac:dyDescent="0.25">
      <c r="A354" s="1" t="s">
        <v>58</v>
      </c>
      <c r="B354" s="1" t="s">
        <v>738</v>
      </c>
      <c r="C354" s="1" t="s">
        <v>739</v>
      </c>
      <c r="D354" s="44"/>
      <c r="E354" s="1" t="s">
        <v>23</v>
      </c>
      <c r="F354" s="1" t="s">
        <v>24</v>
      </c>
      <c r="G354" s="1" t="s">
        <v>24</v>
      </c>
      <c r="H354" s="26">
        <v>100</v>
      </c>
      <c r="I354" s="27" t="str">
        <f>HYPERLINK("https://doc.morningstar.com/Document/e07bbb69fc7f8f503c4f2c06b3f681a2.msdoc?clientid=fnz&amp;key=9c0e4d166b60ffd3","TMD")</f>
        <v>TMD</v>
      </c>
      <c r="J354" t="s">
        <v>25</v>
      </c>
      <c r="K354" s="1" t="s">
        <v>25</v>
      </c>
      <c r="L354" s="1" t="s">
        <v>25</v>
      </c>
      <c r="M354" s="1" t="s">
        <v>25</v>
      </c>
      <c r="N354" s="1" t="s">
        <v>26</v>
      </c>
      <c r="O354" s="1" t="s">
        <v>26</v>
      </c>
      <c r="P354" s="1" t="s">
        <v>27</v>
      </c>
      <c r="Q354" s="1" t="s">
        <v>27</v>
      </c>
    </row>
    <row r="355" spans="1:17" ht="16.5" customHeight="1" x14ac:dyDescent="0.25">
      <c r="A355" s="1" t="s">
        <v>31</v>
      </c>
      <c r="B355" s="1" t="s">
        <v>740</v>
      </c>
      <c r="C355" s="1" t="s">
        <v>741</v>
      </c>
      <c r="D355" s="44"/>
      <c r="E355" s="1" t="s">
        <v>40</v>
      </c>
      <c r="F355" s="1" t="s">
        <v>24</v>
      </c>
      <c r="G355" s="1" t="s">
        <v>24</v>
      </c>
      <c r="H355" s="26">
        <v>100</v>
      </c>
      <c r="I355" s="27" t="str">
        <f>HYPERLINK("https://doc.morningstar.com/Document/70f081a12c58758071486475f793b4af.msdoc?clientid=fnz&amp;key=9c0e4d166b60ffd3","TMD")</f>
        <v>TMD</v>
      </c>
      <c r="J355" t="s">
        <v>25</v>
      </c>
      <c r="K355" s="1" t="s">
        <v>25</v>
      </c>
      <c r="L355" s="1" t="s">
        <v>25</v>
      </c>
      <c r="M355" s="1" t="s">
        <v>25</v>
      </c>
      <c r="N355" s="1" t="s">
        <v>26</v>
      </c>
      <c r="O355" s="1" t="s">
        <v>26</v>
      </c>
      <c r="P355" s="1" t="s">
        <v>27</v>
      </c>
      <c r="Q355" s="1" t="s">
        <v>27</v>
      </c>
    </row>
    <row r="356" spans="1:17" ht="16.5" customHeight="1" x14ac:dyDescent="0.25">
      <c r="A356" s="1" t="s">
        <v>31</v>
      </c>
      <c r="B356" s="1" t="s">
        <v>742</v>
      </c>
      <c r="C356" s="1" t="s">
        <v>743</v>
      </c>
      <c r="D356" s="44"/>
      <c r="E356" s="1" t="s">
        <v>23</v>
      </c>
      <c r="F356" s="1" t="s">
        <v>24</v>
      </c>
      <c r="G356" s="1" t="s">
        <v>24</v>
      </c>
      <c r="H356" s="26">
        <v>100</v>
      </c>
      <c r="I356" s="27" t="str">
        <f>HYPERLINK("https://doc.morningstar.com/Document/97544c791a3975846e3177278b8a82c5.msdoc?clientid=fnz&amp;key=9c0e4d166b60ffd3","TMD")</f>
        <v>TMD</v>
      </c>
      <c r="J356" t="s">
        <v>25</v>
      </c>
      <c r="K356" s="1" t="s">
        <v>25</v>
      </c>
      <c r="L356" s="1" t="s">
        <v>25</v>
      </c>
      <c r="M356" s="1" t="s">
        <v>25</v>
      </c>
      <c r="N356" s="1" t="s">
        <v>26</v>
      </c>
      <c r="O356" s="1" t="s">
        <v>26</v>
      </c>
      <c r="P356" s="1" t="s">
        <v>27</v>
      </c>
      <c r="Q356" s="1" t="s">
        <v>27</v>
      </c>
    </row>
    <row r="357" spans="1:17" ht="16.5" customHeight="1" x14ac:dyDescent="0.25">
      <c r="A357" s="1" t="s">
        <v>31</v>
      </c>
      <c r="B357" s="1" t="s">
        <v>744</v>
      </c>
      <c r="C357" s="1" t="s">
        <v>745</v>
      </c>
      <c r="D357" s="44"/>
      <c r="E357" s="1" t="s">
        <v>40</v>
      </c>
      <c r="F357" s="1" t="s">
        <v>24</v>
      </c>
      <c r="G357" s="1" t="s">
        <v>24</v>
      </c>
      <c r="H357" s="26">
        <v>100</v>
      </c>
      <c r="I357" s="27" t="str">
        <f>HYPERLINK("https://doc.morningstar.com/Document/1d4566a3caebb19203aa954bb36a65d7.msdoc?clientid=fnz&amp;key=9c0e4d166b60ffd3","TMD")</f>
        <v>TMD</v>
      </c>
      <c r="J357" t="s">
        <v>25</v>
      </c>
      <c r="K357" s="1" t="s">
        <v>25</v>
      </c>
      <c r="L357" s="1" t="s">
        <v>25</v>
      </c>
      <c r="M357" s="1" t="s">
        <v>25</v>
      </c>
      <c r="N357" s="1" t="s">
        <v>26</v>
      </c>
      <c r="O357" s="1" t="s">
        <v>26</v>
      </c>
      <c r="P357" s="1" t="s">
        <v>27</v>
      </c>
      <c r="Q357" s="1" t="s">
        <v>27</v>
      </c>
    </row>
    <row r="358" spans="1:17" ht="16.5" customHeight="1" x14ac:dyDescent="0.25">
      <c r="A358" s="1" t="s">
        <v>31</v>
      </c>
      <c r="B358" s="1" t="s">
        <v>746</v>
      </c>
      <c r="C358" s="1" t="s">
        <v>747</v>
      </c>
      <c r="D358" s="44"/>
      <c r="E358" s="1" t="s">
        <v>40</v>
      </c>
      <c r="F358" s="1" t="s">
        <v>24</v>
      </c>
      <c r="G358" s="1" t="s">
        <v>24</v>
      </c>
      <c r="H358" s="26">
        <v>100</v>
      </c>
      <c r="I358" s="27" t="str">
        <f>HYPERLINK("https://doc.morningstar.com/Document/49699461addda565ba931f3b9cfb3aac.msdoc?clientid=fnz&amp;key=9c0e4d166b60ffd3","TMD")</f>
        <v>TMD</v>
      </c>
      <c r="J358" t="s">
        <v>25</v>
      </c>
      <c r="K358" s="1" t="s">
        <v>25</v>
      </c>
      <c r="L358" s="1" t="s">
        <v>25</v>
      </c>
      <c r="M358" s="1" t="s">
        <v>25</v>
      </c>
      <c r="N358" s="1" t="s">
        <v>26</v>
      </c>
      <c r="O358" s="1" t="s">
        <v>26</v>
      </c>
      <c r="P358" s="1" t="s">
        <v>27</v>
      </c>
      <c r="Q358" s="1" t="s">
        <v>27</v>
      </c>
    </row>
    <row r="359" spans="1:17" ht="16.5" customHeight="1" x14ac:dyDescent="0.25">
      <c r="A359" s="1" t="s">
        <v>31</v>
      </c>
      <c r="B359" s="1" t="s">
        <v>748</v>
      </c>
      <c r="C359" s="1" t="s">
        <v>749</v>
      </c>
      <c r="D359" s="44"/>
      <c r="E359" s="1" t="s">
        <v>40</v>
      </c>
      <c r="F359" s="1" t="s">
        <v>24</v>
      </c>
      <c r="G359" s="1" t="s">
        <v>24</v>
      </c>
      <c r="H359" s="26">
        <v>100</v>
      </c>
      <c r="I359" s="27" t="str">
        <f>HYPERLINK("https://doc.morningstar.com/Document/1fa3f784cbc77c67383996b3fcc2cdde.msdoc?clientid=fnz&amp;key=9c0e4d166b60ffd3","TMD")</f>
        <v>TMD</v>
      </c>
      <c r="J359" t="s">
        <v>25</v>
      </c>
      <c r="K359" s="1" t="s">
        <v>25</v>
      </c>
      <c r="L359" s="1" t="s">
        <v>25</v>
      </c>
      <c r="M359" s="1" t="s">
        <v>25</v>
      </c>
      <c r="N359" s="1" t="s">
        <v>26</v>
      </c>
      <c r="O359" s="1" t="s">
        <v>26</v>
      </c>
      <c r="P359" s="1" t="s">
        <v>27</v>
      </c>
      <c r="Q359" s="1" t="s">
        <v>27</v>
      </c>
    </row>
    <row r="360" spans="1:17" ht="16.5" customHeight="1" x14ac:dyDescent="0.25">
      <c r="A360" s="1" t="s">
        <v>281</v>
      </c>
      <c r="B360" s="1" t="s">
        <v>750</v>
      </c>
      <c r="C360" s="1" t="s">
        <v>751</v>
      </c>
      <c r="D360" s="44"/>
      <c r="E360" s="1" t="s">
        <v>40</v>
      </c>
      <c r="F360" s="1" t="s">
        <v>24</v>
      </c>
      <c r="G360" s="1" t="s">
        <v>24</v>
      </c>
      <c r="H360" s="26">
        <v>100</v>
      </c>
      <c r="I360" s="27" t="str">
        <f>HYPERLINK("https://doc.morningstar.com/Document/2defa94ab9621a7feed9b8b4b47a5007.msdoc?clientid=fnz&amp;key=9c0e4d166b60ffd3","TMD")</f>
        <v>TMD</v>
      </c>
      <c r="J360" t="s">
        <v>25</v>
      </c>
      <c r="K360" s="1" t="s">
        <v>25</v>
      </c>
      <c r="L360" s="1" t="s">
        <v>25</v>
      </c>
      <c r="M360" s="1" t="s">
        <v>25</v>
      </c>
      <c r="N360" s="1" t="s">
        <v>27</v>
      </c>
      <c r="O360" s="1" t="s">
        <v>27</v>
      </c>
      <c r="P360" s="1" t="s">
        <v>27</v>
      </c>
      <c r="Q360" s="1" t="s">
        <v>27</v>
      </c>
    </row>
    <row r="361" spans="1:17" ht="16.5" customHeight="1" x14ac:dyDescent="0.25">
      <c r="A361" s="1" t="s">
        <v>28</v>
      </c>
      <c r="B361" s="1" t="s">
        <v>752</v>
      </c>
      <c r="C361" s="1" t="s">
        <v>753</v>
      </c>
      <c r="D361" s="44"/>
      <c r="E361" s="1" t="s">
        <v>23</v>
      </c>
      <c r="F361" s="1" t="s">
        <v>24</v>
      </c>
      <c r="G361" s="1" t="s">
        <v>24</v>
      </c>
      <c r="H361" s="26">
        <v>30</v>
      </c>
      <c r="I361" s="27" t="str">
        <f>HYPERLINK("https://doc.morningstar.com/Document/4bf42e78c5c30f3e600eb8b59783475e.msdoc?clientid=fnz&amp;key=9c0e4d166b60ffd3","TMD")</f>
        <v>TMD</v>
      </c>
      <c r="J361" t="s">
        <v>62</v>
      </c>
      <c r="K361" s="1" t="s">
        <v>25</v>
      </c>
      <c r="L361" s="1" t="s">
        <v>25</v>
      </c>
      <c r="M361" s="1" t="s">
        <v>25</v>
      </c>
      <c r="N361" s="1" t="s">
        <v>26</v>
      </c>
      <c r="O361" s="1" t="s">
        <v>26</v>
      </c>
      <c r="P361" s="1" t="s">
        <v>27</v>
      </c>
      <c r="Q361" s="1" t="s">
        <v>27</v>
      </c>
    </row>
    <row r="362" spans="1:17" ht="16.5" customHeight="1" x14ac:dyDescent="0.25">
      <c r="A362" s="1" t="s">
        <v>52</v>
      </c>
      <c r="B362" s="1" t="s">
        <v>754</v>
      </c>
      <c r="C362" s="1" t="s">
        <v>755</v>
      </c>
      <c r="D362" s="44"/>
      <c r="E362" s="1" t="s">
        <v>40</v>
      </c>
      <c r="F362" s="1" t="s">
        <v>24</v>
      </c>
      <c r="G362" s="1" t="s">
        <v>24</v>
      </c>
      <c r="H362" s="26">
        <v>100</v>
      </c>
      <c r="I362" s="27" t="str">
        <f>HYPERLINK("https://doc.morningstar.com/Document/98625c303c1e1be0ef66848f1f5d6498.msdoc?clientid=fnz&amp;key=9c0e4d166b60ffd3","TMD")</f>
        <v>TMD</v>
      </c>
      <c r="J362" t="s">
        <v>25</v>
      </c>
      <c r="K362" s="1" t="s">
        <v>25</v>
      </c>
      <c r="L362" s="1" t="s">
        <v>25</v>
      </c>
      <c r="M362" s="1" t="s">
        <v>25</v>
      </c>
      <c r="N362" s="1" t="s">
        <v>27</v>
      </c>
      <c r="O362" s="1" t="s">
        <v>27</v>
      </c>
      <c r="P362" s="1" t="s">
        <v>27</v>
      </c>
      <c r="Q362" s="1" t="s">
        <v>27</v>
      </c>
    </row>
    <row r="363" spans="1:17" ht="16.5" customHeight="1" x14ac:dyDescent="0.25">
      <c r="A363" s="1" t="s">
        <v>31</v>
      </c>
      <c r="B363" s="1" t="s">
        <v>756</v>
      </c>
      <c r="C363" s="1" t="s">
        <v>757</v>
      </c>
      <c r="D363" s="44"/>
      <c r="E363" s="1" t="s">
        <v>40</v>
      </c>
      <c r="F363" s="1" t="s">
        <v>24</v>
      </c>
      <c r="G363" s="1" t="s">
        <v>24</v>
      </c>
      <c r="H363" s="26">
        <v>100</v>
      </c>
      <c r="I363" s="27" t="str">
        <f>HYPERLINK("https://doc.morningstar.com/Document/1fa3f784cbc77c6717af85e6d851c7a3.msdoc?clientid=fnz&amp;key=9c0e4d166b60ffd3","TMD")</f>
        <v>TMD</v>
      </c>
      <c r="J363" t="s">
        <v>25</v>
      </c>
      <c r="K363" s="1" t="s">
        <v>25</v>
      </c>
      <c r="L363" s="1" t="s">
        <v>25</v>
      </c>
      <c r="M363" s="1" t="s">
        <v>25</v>
      </c>
      <c r="N363" s="1" t="s">
        <v>26</v>
      </c>
      <c r="O363" s="1" t="s">
        <v>26</v>
      </c>
      <c r="P363" s="1" t="s">
        <v>27</v>
      </c>
      <c r="Q363" s="1" t="s">
        <v>27</v>
      </c>
    </row>
    <row r="364" spans="1:17" ht="16.5" customHeight="1" x14ac:dyDescent="0.25">
      <c r="A364" s="1" t="s">
        <v>58</v>
      </c>
      <c r="B364" s="1" t="s">
        <v>758</v>
      </c>
      <c r="C364" s="1" t="s">
        <v>759</v>
      </c>
      <c r="D364" s="44"/>
      <c r="E364" s="1" t="s">
        <v>61</v>
      </c>
      <c r="F364" s="1" t="s">
        <v>24</v>
      </c>
      <c r="G364" s="1" t="s">
        <v>24</v>
      </c>
      <c r="H364" s="26">
        <v>100</v>
      </c>
      <c r="I364" s="27" t="str">
        <f>HYPERLINK("https://doc.morningstar.com/Document/026d7edd7988d3b05f1271f8319c7d2a.msdoc?clientid=fnz&amp;key=9c0e4d166b60ffd3","TMD")</f>
        <v>TMD</v>
      </c>
      <c r="J364" t="s">
        <v>25</v>
      </c>
      <c r="K364" s="1" t="s">
        <v>25</v>
      </c>
      <c r="L364" s="1" t="s">
        <v>25</v>
      </c>
      <c r="M364" s="1" t="s">
        <v>25</v>
      </c>
      <c r="N364" s="1" t="s">
        <v>26</v>
      </c>
      <c r="O364" s="1" t="s">
        <v>26</v>
      </c>
      <c r="P364" s="1" t="s">
        <v>27</v>
      </c>
      <c r="Q364" s="1" t="s">
        <v>27</v>
      </c>
    </row>
    <row r="365" spans="1:17" ht="16.5" customHeight="1" x14ac:dyDescent="0.25">
      <c r="A365" s="1" t="s">
        <v>58</v>
      </c>
      <c r="B365" s="1" t="s">
        <v>760</v>
      </c>
      <c r="C365" s="1" t="s">
        <v>761</v>
      </c>
      <c r="D365" s="44"/>
      <c r="E365" s="1" t="s">
        <v>61</v>
      </c>
      <c r="F365" s="1" t="s">
        <v>24</v>
      </c>
      <c r="G365" s="1" t="s">
        <v>24</v>
      </c>
      <c r="H365" s="26">
        <v>100</v>
      </c>
      <c r="I365" s="27" t="str">
        <f>HYPERLINK("https://doc.morningstar.com/Document/7bf790e3b0e246d083705ce10fa59dea.msdoc?clientid=fnz&amp;key=9c0e4d166b60ffd3","TMD")</f>
        <v>TMD</v>
      </c>
      <c r="J365" t="s">
        <v>25</v>
      </c>
      <c r="K365" s="1" t="s">
        <v>25</v>
      </c>
      <c r="L365" s="1" t="s">
        <v>25</v>
      </c>
      <c r="M365" s="1" t="s">
        <v>25</v>
      </c>
      <c r="N365" s="1" t="s">
        <v>26</v>
      </c>
      <c r="O365" s="1" t="s">
        <v>26</v>
      </c>
      <c r="P365" s="1" t="s">
        <v>27</v>
      </c>
      <c r="Q365" s="1" t="s">
        <v>27</v>
      </c>
    </row>
    <row r="366" spans="1:17" ht="16.5" customHeight="1" x14ac:dyDescent="0.25">
      <c r="A366" s="1" t="s">
        <v>31</v>
      </c>
      <c r="B366" s="1" t="s">
        <v>762</v>
      </c>
      <c r="C366" s="1" t="s">
        <v>763</v>
      </c>
      <c r="D366" s="44"/>
      <c r="E366" s="1" t="s">
        <v>40</v>
      </c>
      <c r="F366" s="1" t="s">
        <v>195</v>
      </c>
      <c r="G366" s="1" t="s">
        <v>24</v>
      </c>
      <c r="H366" s="26">
        <v>100</v>
      </c>
      <c r="I366" s="27" t="str">
        <f>HYPERLINK("https://doc.morningstar.com/Document/2defa94ab9621a7fbf02e0b0d608f4a7.msdoc?clientid=fnz&amp;key=9c0e4d166b60ffd3","TMD")</f>
        <v>TMD</v>
      </c>
      <c r="J366" t="s">
        <v>25</v>
      </c>
      <c r="K366" s="1" t="s">
        <v>25</v>
      </c>
      <c r="L366" s="1" t="s">
        <v>25</v>
      </c>
      <c r="M366" s="1" t="s">
        <v>25</v>
      </c>
      <c r="N366" s="1" t="s">
        <v>26</v>
      </c>
      <c r="O366" s="1" t="s">
        <v>26</v>
      </c>
      <c r="P366" s="1" t="s">
        <v>27</v>
      </c>
      <c r="Q366" s="1" t="s">
        <v>27</v>
      </c>
    </row>
    <row r="367" spans="1:17" ht="16.5" customHeight="1" x14ac:dyDescent="0.25">
      <c r="A367" s="1" t="s">
        <v>34</v>
      </c>
      <c r="B367" s="1" t="s">
        <v>764</v>
      </c>
      <c r="C367" s="1" t="s">
        <v>765</v>
      </c>
      <c r="D367" s="44"/>
      <c r="E367" s="1" t="s">
        <v>40</v>
      </c>
      <c r="F367" s="1" t="s">
        <v>24</v>
      </c>
      <c r="G367" s="1" t="s">
        <v>24</v>
      </c>
      <c r="H367" s="26">
        <v>30</v>
      </c>
      <c r="I367" s="27" t="str">
        <f>HYPERLINK("https://doc.morningstar.com/Document/964419e07a75015aea906b2a18f86992.msdoc?clientid=fnz&amp;key=9c0e4d166b60ffd3","TMD")</f>
        <v>TMD</v>
      </c>
      <c r="J367" t="s">
        <v>25</v>
      </c>
      <c r="K367" s="1" t="s">
        <v>25</v>
      </c>
      <c r="L367" s="1" t="s">
        <v>25</v>
      </c>
      <c r="M367" s="1" t="s">
        <v>25</v>
      </c>
      <c r="N367" s="1" t="s">
        <v>26</v>
      </c>
      <c r="O367" s="1" t="s">
        <v>26</v>
      </c>
      <c r="P367" s="1" t="s">
        <v>27</v>
      </c>
      <c r="Q367" s="1" t="s">
        <v>27</v>
      </c>
    </row>
    <row r="368" spans="1:17" ht="16.5" customHeight="1" x14ac:dyDescent="0.25">
      <c r="A368" s="1" t="s">
        <v>141</v>
      </c>
      <c r="B368" s="1" t="s">
        <v>766</v>
      </c>
      <c r="C368" s="1" t="s">
        <v>767</v>
      </c>
      <c r="D368" s="44"/>
      <c r="E368" s="1" t="s">
        <v>428</v>
      </c>
      <c r="F368" s="1" t="s">
        <v>24</v>
      </c>
      <c r="G368" s="1" t="s">
        <v>24</v>
      </c>
      <c r="H368" s="26">
        <v>20</v>
      </c>
      <c r="I368" s="27" t="str">
        <f>HYPERLINK("https://doc.morningstar.com/Document/5705ca8c278e92bb8b085145df4d6ebf.msdoc?clientid=fnz&amp;key=9c0e4d166b60ffd3","TMD")</f>
        <v>TMD</v>
      </c>
      <c r="J368" t="s">
        <v>62</v>
      </c>
      <c r="K368" s="1" t="s">
        <v>25</v>
      </c>
      <c r="L368" s="1" t="s">
        <v>25</v>
      </c>
      <c r="M368" s="1" t="s">
        <v>25</v>
      </c>
      <c r="N368" s="1" t="s">
        <v>26</v>
      </c>
      <c r="O368" s="1" t="s">
        <v>26</v>
      </c>
      <c r="P368" s="1" t="s">
        <v>27</v>
      </c>
      <c r="Q368" s="1" t="s">
        <v>27</v>
      </c>
    </row>
    <row r="369" spans="1:17" ht="16.5" customHeight="1" x14ac:dyDescent="0.25">
      <c r="A369" s="1" t="s">
        <v>52</v>
      </c>
      <c r="B369" s="1" t="s">
        <v>768</v>
      </c>
      <c r="C369" s="1" t="s">
        <v>769</v>
      </c>
      <c r="D369" s="44"/>
      <c r="E369" s="1" t="s">
        <v>45</v>
      </c>
      <c r="F369" s="1" t="s">
        <v>24</v>
      </c>
      <c r="G369" s="1" t="s">
        <v>24</v>
      </c>
      <c r="H369" s="26">
        <v>100</v>
      </c>
      <c r="I369" s="27" t="str">
        <f>HYPERLINK("https://doc.morningstar.com/Document/724fb43e884d61f9e447b629047d2ec7.msdoc?clientid=fnz&amp;key=9c0e4d166b60ffd3","TMD")</f>
        <v>TMD</v>
      </c>
      <c r="J369" t="s">
        <v>25</v>
      </c>
      <c r="K369" s="1" t="s">
        <v>25</v>
      </c>
      <c r="L369" s="1" t="s">
        <v>25</v>
      </c>
      <c r="M369" s="1" t="s">
        <v>25</v>
      </c>
      <c r="N369" s="1" t="s">
        <v>26</v>
      </c>
      <c r="O369" s="1" t="s">
        <v>26</v>
      </c>
      <c r="P369" s="1" t="s">
        <v>27</v>
      </c>
      <c r="Q369" s="1" t="s">
        <v>27</v>
      </c>
    </row>
    <row r="370" spans="1:17" ht="16.5" customHeight="1" x14ac:dyDescent="0.25">
      <c r="A370" s="1" t="s">
        <v>31</v>
      </c>
      <c r="B370" s="1" t="s">
        <v>770</v>
      </c>
      <c r="C370" s="1" t="s">
        <v>771</v>
      </c>
      <c r="D370" s="44"/>
      <c r="E370" s="1" t="s">
        <v>23</v>
      </c>
      <c r="F370" s="1" t="s">
        <v>24</v>
      </c>
      <c r="G370" s="1" t="s">
        <v>24</v>
      </c>
      <c r="H370" s="26">
        <v>100</v>
      </c>
      <c r="I370" s="27" t="str">
        <f>HYPERLINK("https://doc.morningstar.com/Document/4a9686627b38b93bc2f2473afb2aa42a.msdoc?clientid=fnz&amp;key=9c0e4d166b60ffd3","TMD")</f>
        <v>TMD</v>
      </c>
      <c r="J370" t="s">
        <v>25</v>
      </c>
      <c r="K370" s="1" t="s">
        <v>25</v>
      </c>
      <c r="L370" s="1" t="s">
        <v>25</v>
      </c>
      <c r="M370" s="1" t="s">
        <v>25</v>
      </c>
      <c r="N370" s="1" t="s">
        <v>26</v>
      </c>
      <c r="O370" s="1" t="s">
        <v>26</v>
      </c>
      <c r="P370" s="1" t="s">
        <v>27</v>
      </c>
      <c r="Q370" s="1" t="s">
        <v>27</v>
      </c>
    </row>
    <row r="371" spans="1:17" ht="16.5" customHeight="1" x14ac:dyDescent="0.25">
      <c r="A371" s="1" t="s">
        <v>225</v>
      </c>
      <c r="B371" s="1" t="s">
        <v>772</v>
      </c>
      <c r="C371" s="1" t="s">
        <v>773</v>
      </c>
      <c r="D371" s="44"/>
      <c r="E371" s="1" t="s">
        <v>61</v>
      </c>
      <c r="F371" s="1" t="s">
        <v>195</v>
      </c>
      <c r="G371" s="1" t="s">
        <v>24</v>
      </c>
      <c r="H371" s="26">
        <v>30</v>
      </c>
      <c r="I371" s="27" t="str">
        <f>HYPERLINK("https://doc.morningstar.com/Document/de5394f62b3b6618b64f14c274ec3671.msdoc?clientid=fnz&amp;key=9c0e4d166b60ffd3","TMD")</f>
        <v>TMD</v>
      </c>
      <c r="J371" t="s">
        <v>62</v>
      </c>
      <c r="K371" s="1" t="s">
        <v>25</v>
      </c>
      <c r="L371" s="1" t="s">
        <v>25</v>
      </c>
      <c r="M371" s="1" t="s">
        <v>25</v>
      </c>
      <c r="N371" s="1" t="s">
        <v>26</v>
      </c>
      <c r="O371" s="1" t="s">
        <v>26</v>
      </c>
      <c r="P371" s="1" t="s">
        <v>26</v>
      </c>
      <c r="Q371" s="1" t="s">
        <v>27</v>
      </c>
    </row>
    <row r="372" spans="1:17" ht="16.5" customHeight="1" x14ac:dyDescent="0.25">
      <c r="A372" s="1" t="s">
        <v>52</v>
      </c>
      <c r="B372" s="1" t="s">
        <v>774</v>
      </c>
      <c r="C372" s="1" t="s">
        <v>775</v>
      </c>
      <c r="D372" s="44"/>
      <c r="E372" s="1" t="s">
        <v>40</v>
      </c>
      <c r="F372" s="1" t="s">
        <v>24</v>
      </c>
      <c r="G372" s="1" t="s">
        <v>24</v>
      </c>
      <c r="H372" s="26">
        <v>100</v>
      </c>
      <c r="I372" s="27" t="str">
        <f>HYPERLINK("https://doc.morningstar.com/Document/52f29d34aea2ed3c570d801a4aa3cb50.msdoc?clientid=fnz&amp;key=9c0e4d166b60ffd3","TMD")</f>
        <v>TMD</v>
      </c>
      <c r="J372" t="s">
        <v>62</v>
      </c>
      <c r="K372" s="1" t="s">
        <v>25</v>
      </c>
      <c r="L372" s="1" t="s">
        <v>25</v>
      </c>
      <c r="M372" s="1" t="s">
        <v>25</v>
      </c>
      <c r="N372" s="1" t="s">
        <v>26</v>
      </c>
      <c r="O372" s="1" t="s">
        <v>27</v>
      </c>
      <c r="P372" s="1" t="s">
        <v>27</v>
      </c>
      <c r="Q372" s="1" t="s">
        <v>27</v>
      </c>
    </row>
    <row r="373" spans="1:17" ht="16.5" customHeight="1" x14ac:dyDescent="0.25">
      <c r="A373" s="1" t="s">
        <v>281</v>
      </c>
      <c r="B373" s="1" t="s">
        <v>776</v>
      </c>
      <c r="C373" s="1" t="s">
        <v>777</v>
      </c>
      <c r="D373" s="44"/>
      <c r="E373" s="1" t="s">
        <v>40</v>
      </c>
      <c r="F373" s="1" t="s">
        <v>24</v>
      </c>
      <c r="G373" s="1" t="s">
        <v>24</v>
      </c>
      <c r="H373" s="26">
        <v>100</v>
      </c>
      <c r="I373" s="27" t="str">
        <f>HYPERLINK("https://doc.morningstar.com/Document/93f058674705e13c66287252efc4327b.msdoc?clientid=fnz&amp;key=9c0e4d166b60ffd3","TMD")</f>
        <v>TMD</v>
      </c>
      <c r="J373" t="s">
        <v>25</v>
      </c>
      <c r="K373" s="1" t="s">
        <v>25</v>
      </c>
      <c r="L373" s="1" t="s">
        <v>25</v>
      </c>
      <c r="M373" s="1" t="s">
        <v>25</v>
      </c>
      <c r="N373" s="1" t="s">
        <v>26</v>
      </c>
      <c r="O373" s="1" t="s">
        <v>27</v>
      </c>
      <c r="P373" s="1" t="s">
        <v>27</v>
      </c>
      <c r="Q373" s="1" t="s">
        <v>27</v>
      </c>
    </row>
    <row r="374" spans="1:17" ht="16.5" customHeight="1" x14ac:dyDescent="0.25">
      <c r="A374" s="1" t="s">
        <v>34</v>
      </c>
      <c r="B374" s="1" t="s">
        <v>778</v>
      </c>
      <c r="C374" s="1" t="s">
        <v>779</v>
      </c>
      <c r="D374" s="44"/>
      <c r="E374" s="1" t="s">
        <v>23</v>
      </c>
      <c r="F374" s="1" t="s">
        <v>24</v>
      </c>
      <c r="G374" s="1" t="s">
        <v>24</v>
      </c>
      <c r="H374" s="26">
        <v>30</v>
      </c>
      <c r="I374" s="27" t="str">
        <f>HYPERLINK("https://doc.morningstar.com/Document/9a27a883a98fe6a290f71b73e23dbbbe.msdoc?clientid=fnz&amp;key=9c0e4d166b60ffd3","TMD")</f>
        <v>TMD</v>
      </c>
      <c r="J374" t="s">
        <v>25</v>
      </c>
      <c r="K374" s="1" t="s">
        <v>26</v>
      </c>
      <c r="L374" s="1" t="s">
        <v>26</v>
      </c>
      <c r="M374" s="1" t="s">
        <v>26</v>
      </c>
      <c r="N374" s="1" t="s">
        <v>26</v>
      </c>
      <c r="O374" s="1" t="s">
        <v>27</v>
      </c>
      <c r="P374" s="1" t="s">
        <v>27</v>
      </c>
      <c r="Q374" s="1" t="s">
        <v>26</v>
      </c>
    </row>
    <row r="375" spans="1:17" ht="16.5" customHeight="1" x14ac:dyDescent="0.25">
      <c r="A375" s="1" t="s">
        <v>31</v>
      </c>
      <c r="B375" s="1" t="s">
        <v>780</v>
      </c>
      <c r="C375" s="1" t="s">
        <v>781</v>
      </c>
      <c r="D375" s="44"/>
      <c r="E375" s="1" t="s">
        <v>23</v>
      </c>
      <c r="F375" s="1" t="s">
        <v>24</v>
      </c>
      <c r="G375" s="1" t="s">
        <v>24</v>
      </c>
      <c r="H375" s="26">
        <v>100</v>
      </c>
      <c r="I375" s="27" t="str">
        <f>HYPERLINK("https://doc.morningstar.com/Document/bd4212a70bc5c51802a3a9fd1db78b45.msdoc?clientid=fnz&amp;key=9c0e4d166b60ffd3","TMD")</f>
        <v>TMD</v>
      </c>
      <c r="J375" t="s">
        <v>25</v>
      </c>
      <c r="K375" s="1" t="s">
        <v>26</v>
      </c>
      <c r="L375" s="1" t="s">
        <v>26</v>
      </c>
      <c r="M375" s="1" t="s">
        <v>26</v>
      </c>
      <c r="N375" s="1" t="s">
        <v>26</v>
      </c>
      <c r="O375" s="1" t="s">
        <v>26</v>
      </c>
      <c r="P375" s="1" t="s">
        <v>27</v>
      </c>
      <c r="Q375" s="1" t="s">
        <v>27</v>
      </c>
    </row>
    <row r="376" spans="1:17" ht="16.5" customHeight="1" x14ac:dyDescent="0.25">
      <c r="A376" s="1" t="s">
        <v>34</v>
      </c>
      <c r="B376" s="1" t="s">
        <v>782</v>
      </c>
      <c r="C376" s="1" t="s">
        <v>783</v>
      </c>
      <c r="D376" s="44"/>
      <c r="E376" s="1" t="s">
        <v>23</v>
      </c>
      <c r="F376" s="1" t="s">
        <v>24</v>
      </c>
      <c r="G376" s="1" t="s">
        <v>24</v>
      </c>
      <c r="H376" s="26">
        <v>30</v>
      </c>
      <c r="I376" s="27" t="str">
        <f>HYPERLINK("https://doc.morningstar.com/Document/22fec3bc47ff892cf938c860639d2819.msdoc?clientid=fnz&amp;key=9c0e4d166b60ffd3","TMD")</f>
        <v>TMD</v>
      </c>
      <c r="J376" t="s">
        <v>25</v>
      </c>
      <c r="K376" s="1" t="s">
        <v>26</v>
      </c>
      <c r="L376" s="1" t="s">
        <v>26</v>
      </c>
      <c r="M376" s="1" t="s">
        <v>26</v>
      </c>
      <c r="N376" s="1" t="s">
        <v>26</v>
      </c>
      <c r="O376" s="1" t="s">
        <v>27</v>
      </c>
      <c r="P376" s="1" t="s">
        <v>27</v>
      </c>
      <c r="Q376" s="1" t="s">
        <v>26</v>
      </c>
    </row>
    <row r="377" spans="1:17" ht="16.5" customHeight="1" x14ac:dyDescent="0.25">
      <c r="A377" s="1" t="s">
        <v>31</v>
      </c>
      <c r="B377" s="1" t="s">
        <v>784</v>
      </c>
      <c r="C377" s="1" t="s">
        <v>785</v>
      </c>
      <c r="D377" s="44"/>
      <c r="E377" s="1" t="s">
        <v>23</v>
      </c>
      <c r="F377" s="1" t="s">
        <v>24</v>
      </c>
      <c r="G377" s="1" t="s">
        <v>24</v>
      </c>
      <c r="H377" s="26">
        <v>100</v>
      </c>
      <c r="I377" s="27" t="str">
        <f>HYPERLINK("https://doc.morningstar.com/Document/f5da94ed08db518e6441b3b1748b5f40.msdoc?clientid=fnz&amp;key=9c0e4d166b60ffd3","TMD")</f>
        <v>TMD</v>
      </c>
      <c r="J377" t="s">
        <v>25</v>
      </c>
      <c r="K377" s="1" t="s">
        <v>26</v>
      </c>
      <c r="L377" s="1" t="s">
        <v>26</v>
      </c>
      <c r="M377" s="1" t="s">
        <v>26</v>
      </c>
      <c r="N377" s="1" t="s">
        <v>26</v>
      </c>
      <c r="O377" s="1" t="s">
        <v>26</v>
      </c>
      <c r="P377" s="1" t="s">
        <v>27</v>
      </c>
      <c r="Q377" s="1" t="s">
        <v>27</v>
      </c>
    </row>
    <row r="378" spans="1:17" ht="16.5" customHeight="1" x14ac:dyDescent="0.25">
      <c r="A378" s="1" t="s">
        <v>55</v>
      </c>
      <c r="B378" s="1" t="s">
        <v>786</v>
      </c>
      <c r="C378" s="1" t="s">
        <v>787</v>
      </c>
      <c r="D378" s="44"/>
      <c r="E378" s="1" t="s">
        <v>40</v>
      </c>
      <c r="F378" s="1" t="s">
        <v>24</v>
      </c>
      <c r="G378" s="1" t="s">
        <v>24</v>
      </c>
      <c r="H378" s="26">
        <v>100</v>
      </c>
      <c r="I378" s="27" t="str">
        <f>HYPERLINK("https://doc.morningstar.com/Document/9a27a883a98fe6a20ab7f6ab0551b5ca.msdoc?clientid=fnz&amp;key=9c0e4d166b60ffd3","TMD")</f>
        <v>TMD</v>
      </c>
      <c r="J378" t="s">
        <v>25</v>
      </c>
      <c r="K378" s="1" t="s">
        <v>26</v>
      </c>
      <c r="L378" s="1" t="s">
        <v>26</v>
      </c>
      <c r="M378" s="1" t="s">
        <v>26</v>
      </c>
      <c r="N378" s="1" t="s">
        <v>26</v>
      </c>
      <c r="O378" s="1" t="s">
        <v>27</v>
      </c>
      <c r="P378" s="1" t="s">
        <v>27</v>
      </c>
      <c r="Q378" s="1" t="s">
        <v>26</v>
      </c>
    </row>
    <row r="379" spans="1:17" ht="16.5" customHeight="1" x14ac:dyDescent="0.25">
      <c r="A379" s="1" t="s">
        <v>31</v>
      </c>
      <c r="B379" s="1" t="s">
        <v>788</v>
      </c>
      <c r="C379" s="1" t="s">
        <v>789</v>
      </c>
      <c r="D379" s="44"/>
      <c r="E379" s="1" t="s">
        <v>23</v>
      </c>
      <c r="F379" s="1" t="s">
        <v>24</v>
      </c>
      <c r="G379" s="1" t="s">
        <v>24</v>
      </c>
      <c r="H379" s="26">
        <v>100</v>
      </c>
      <c r="I379" s="27" t="str">
        <f>HYPERLINK("https://doc.morningstar.com/Document/775b283936d044b110dc9ff69013075c.msdoc?clientid=fnz&amp;key=9c0e4d166b60ffd3","TMD")</f>
        <v>TMD</v>
      </c>
      <c r="J379" t="s">
        <v>25</v>
      </c>
      <c r="K379" s="1" t="s">
        <v>26</v>
      </c>
      <c r="L379" s="1" t="s">
        <v>26</v>
      </c>
      <c r="M379" s="1" t="s">
        <v>26</v>
      </c>
      <c r="N379" s="1" t="s">
        <v>26</v>
      </c>
      <c r="O379" s="1" t="s">
        <v>27</v>
      </c>
      <c r="P379" s="1" t="s">
        <v>27</v>
      </c>
      <c r="Q379" s="1" t="s">
        <v>26</v>
      </c>
    </row>
    <row r="380" spans="1:17" ht="16.5" customHeight="1" x14ac:dyDescent="0.25">
      <c r="A380" s="1" t="s">
        <v>58</v>
      </c>
      <c r="B380" s="1" t="s">
        <v>790</v>
      </c>
      <c r="C380" s="1" t="s">
        <v>791</v>
      </c>
      <c r="D380" s="44"/>
      <c r="E380" s="1" t="s">
        <v>61</v>
      </c>
      <c r="F380" s="1" t="s">
        <v>24</v>
      </c>
      <c r="G380" s="1" t="s">
        <v>24</v>
      </c>
      <c r="H380" s="26">
        <v>100</v>
      </c>
      <c r="I380" s="27" t="str">
        <f>HYPERLINK("https://doc.morningstar.com/Document/0af5fcb5707e362fff4fbe2cdee48af3.msdoc?clientid=fnz&amp;key=9c0e4d166b60ffd3","TMD")</f>
        <v>TMD</v>
      </c>
      <c r="J380" t="s">
        <v>25</v>
      </c>
      <c r="K380" s="1" t="s">
        <v>26</v>
      </c>
      <c r="L380" s="1" t="s">
        <v>26</v>
      </c>
      <c r="M380" s="1" t="s">
        <v>26</v>
      </c>
      <c r="N380" s="1" t="s">
        <v>26</v>
      </c>
      <c r="O380" s="1" t="s">
        <v>27</v>
      </c>
      <c r="P380" s="1" t="s">
        <v>27</v>
      </c>
      <c r="Q380" s="1" t="s">
        <v>26</v>
      </c>
    </row>
    <row r="381" spans="1:17" ht="16.5" customHeight="1" x14ac:dyDescent="0.25">
      <c r="A381" s="1" t="s">
        <v>274</v>
      </c>
      <c r="B381" s="1" t="s">
        <v>792</v>
      </c>
      <c r="C381" s="1" t="s">
        <v>793</v>
      </c>
      <c r="D381" s="44"/>
      <c r="E381" s="1" t="s">
        <v>40</v>
      </c>
      <c r="F381" s="1" t="s">
        <v>24</v>
      </c>
      <c r="G381" s="1" t="s">
        <v>24</v>
      </c>
      <c r="H381" s="26">
        <v>100</v>
      </c>
      <c r="I381" s="27" t="str">
        <f>HYPERLINK("https://doc.morningstar.com/Document/297738bb5aab17609950d2e05c571b7b.msdoc?clientid=fnz&amp;key=9c0e4d166b60ffd3","TMD")</f>
        <v>TMD</v>
      </c>
      <c r="J381" t="s">
        <v>25</v>
      </c>
      <c r="K381" s="1" t="s">
        <v>25</v>
      </c>
      <c r="L381" s="1" t="s">
        <v>25</v>
      </c>
      <c r="M381" s="1" t="s">
        <v>25</v>
      </c>
      <c r="N381" s="1" t="s">
        <v>26</v>
      </c>
      <c r="O381" s="1" t="s">
        <v>27</v>
      </c>
      <c r="P381" s="1" t="s">
        <v>27</v>
      </c>
      <c r="Q381" s="1" t="s">
        <v>27</v>
      </c>
    </row>
    <row r="382" spans="1:17" ht="16.5" customHeight="1" x14ac:dyDescent="0.25">
      <c r="A382" s="1" t="s">
        <v>58</v>
      </c>
      <c r="B382" s="1" t="s">
        <v>794</v>
      </c>
      <c r="C382" s="1" t="s">
        <v>795</v>
      </c>
      <c r="D382" s="44"/>
      <c r="E382" s="1" t="s">
        <v>40</v>
      </c>
      <c r="F382" s="1" t="s">
        <v>24</v>
      </c>
      <c r="G382" s="1" t="s">
        <v>24</v>
      </c>
      <c r="H382" s="26">
        <v>100</v>
      </c>
      <c r="I382" s="27" t="str">
        <f>HYPERLINK("https://doc.morningstar.com/Document/80c3df50346a4e58f63d9d4b4c4406a4.msdoc?clientid=fnz&amp;key=9c0e4d166b60ffd3","TMD")</f>
        <v>TMD</v>
      </c>
      <c r="J382" t="s">
        <v>25</v>
      </c>
      <c r="K382" s="1" t="s">
        <v>25</v>
      </c>
      <c r="L382" s="1" t="s">
        <v>25</v>
      </c>
      <c r="M382" s="1" t="s">
        <v>25</v>
      </c>
      <c r="N382" s="1" t="s">
        <v>26</v>
      </c>
      <c r="O382" s="1" t="s">
        <v>26</v>
      </c>
      <c r="P382" s="1" t="s">
        <v>27</v>
      </c>
      <c r="Q382" s="1" t="s">
        <v>27</v>
      </c>
    </row>
    <row r="383" spans="1:17" ht="16.5" customHeight="1" x14ac:dyDescent="0.25">
      <c r="A383" s="1" t="s">
        <v>58</v>
      </c>
      <c r="B383" s="1" t="s">
        <v>796</v>
      </c>
      <c r="C383" s="1" t="s">
        <v>797</v>
      </c>
      <c r="D383" s="44"/>
      <c r="E383" s="1" t="s">
        <v>61</v>
      </c>
      <c r="F383" s="1" t="s">
        <v>24</v>
      </c>
      <c r="G383" s="1" t="s">
        <v>24</v>
      </c>
      <c r="H383" s="26">
        <v>100</v>
      </c>
      <c r="I383" s="27" t="str">
        <f>HYPERLINK("https://doc.morningstar.com/Document/9e5674ecddab5bd463c1ec7c739054d1.msdoc?clientid=fnz&amp;key=9c0e4d166b60ffd3","TMD")</f>
        <v>TMD</v>
      </c>
      <c r="J383" t="s">
        <v>25</v>
      </c>
      <c r="K383" s="1" t="s">
        <v>25</v>
      </c>
      <c r="L383" s="1" t="s">
        <v>25</v>
      </c>
      <c r="M383" s="1" t="s">
        <v>25</v>
      </c>
      <c r="N383" s="1" t="s">
        <v>26</v>
      </c>
      <c r="O383" s="1" t="s">
        <v>26</v>
      </c>
      <c r="P383" s="1" t="s">
        <v>27</v>
      </c>
      <c r="Q383" s="1" t="s">
        <v>27</v>
      </c>
    </row>
    <row r="384" spans="1:17" ht="16.5" customHeight="1" x14ac:dyDescent="0.25">
      <c r="A384" s="1" t="s">
        <v>84</v>
      </c>
      <c r="B384" s="1" t="s">
        <v>798</v>
      </c>
      <c r="C384" s="1" t="s">
        <v>799</v>
      </c>
      <c r="D384" s="44"/>
      <c r="E384" s="1" t="s">
        <v>40</v>
      </c>
      <c r="F384" s="1" t="s">
        <v>24</v>
      </c>
      <c r="G384" s="1" t="s">
        <v>24</v>
      </c>
      <c r="H384" s="26">
        <v>100</v>
      </c>
      <c r="I384" s="27" t="str">
        <f>HYPERLINK("https://doc.morningstar.com/Document/4ef825ba6a80df98d8928a0a37a67142.msdoc?clientid=fnz&amp;key=9c0e4d166b60ffd3","TMD")</f>
        <v>TMD</v>
      </c>
      <c r="J384" t="s">
        <v>25</v>
      </c>
      <c r="K384" s="1" t="s">
        <v>25</v>
      </c>
      <c r="L384" s="1" t="s">
        <v>25</v>
      </c>
      <c r="M384" s="1" t="s">
        <v>25</v>
      </c>
      <c r="N384" s="1" t="s">
        <v>26</v>
      </c>
      <c r="O384" s="1" t="s">
        <v>27</v>
      </c>
      <c r="P384" s="1" t="s">
        <v>27</v>
      </c>
      <c r="Q384" s="1" t="s">
        <v>26</v>
      </c>
    </row>
    <row r="385" spans="1:17" ht="16.5" customHeight="1" x14ac:dyDescent="0.25">
      <c r="A385" s="1" t="s">
        <v>318</v>
      </c>
      <c r="B385" s="1" t="s">
        <v>800</v>
      </c>
      <c r="C385" s="1" t="s">
        <v>801</v>
      </c>
      <c r="D385" s="44"/>
      <c r="E385" s="1" t="s">
        <v>40</v>
      </c>
      <c r="F385" s="1" t="s">
        <v>24</v>
      </c>
      <c r="G385" s="1" t="s">
        <v>24</v>
      </c>
      <c r="H385" s="26">
        <v>100</v>
      </c>
      <c r="I385" s="27" t="str">
        <f>HYPERLINK("https://doc.morningstar.com/Document/43f4a0d87159d519fe12d00b8401c31a.msdoc?clientid=fnz&amp;key=9c0e4d166b60ffd3","TMD")</f>
        <v>TMD</v>
      </c>
      <c r="J385" t="s">
        <v>25</v>
      </c>
      <c r="K385" s="1" t="s">
        <v>25</v>
      </c>
      <c r="L385" s="1" t="s">
        <v>25</v>
      </c>
      <c r="M385" s="1" t="s">
        <v>25</v>
      </c>
      <c r="N385" s="1" t="s">
        <v>27</v>
      </c>
      <c r="O385" s="1" t="s">
        <v>27</v>
      </c>
      <c r="P385" s="1" t="s">
        <v>26</v>
      </c>
      <c r="Q385" s="1" t="s">
        <v>26</v>
      </c>
    </row>
    <row r="386" spans="1:17" ht="16.5" customHeight="1" x14ac:dyDescent="0.25">
      <c r="A386" s="1" t="s">
        <v>37</v>
      </c>
      <c r="B386" s="1" t="s">
        <v>802</v>
      </c>
      <c r="C386" s="1" t="s">
        <v>803</v>
      </c>
      <c r="D386" s="44"/>
      <c r="E386" s="1" t="s">
        <v>40</v>
      </c>
      <c r="F386" s="1" t="s">
        <v>24</v>
      </c>
      <c r="G386" s="1" t="s">
        <v>24</v>
      </c>
      <c r="H386" s="26">
        <v>50</v>
      </c>
      <c r="I386" s="27" t="str">
        <f>HYPERLINK("https://doc.morningstar.com/Document/65cfe5d5717db936e9021b25716e1cf4.msdoc?clientid=fnz&amp;key=9c0e4d166b60ffd3","TMD")</f>
        <v>TMD</v>
      </c>
      <c r="J386" t="s">
        <v>25</v>
      </c>
      <c r="K386" s="1" t="s">
        <v>25</v>
      </c>
      <c r="L386" s="1" t="s">
        <v>25</v>
      </c>
      <c r="M386" s="1" t="s">
        <v>25</v>
      </c>
      <c r="N386" s="1" t="s">
        <v>26</v>
      </c>
      <c r="O386" s="1" t="s">
        <v>26</v>
      </c>
      <c r="P386" s="1" t="s">
        <v>27</v>
      </c>
      <c r="Q386" s="1" t="s">
        <v>27</v>
      </c>
    </row>
    <row r="387" spans="1:17" ht="16.5" customHeight="1" x14ac:dyDescent="0.25">
      <c r="A387" s="1" t="s">
        <v>109</v>
      </c>
      <c r="B387" s="1" t="s">
        <v>804</v>
      </c>
      <c r="C387" s="1" t="s">
        <v>805</v>
      </c>
      <c r="D387" s="44"/>
      <c r="E387" s="1" t="s">
        <v>23</v>
      </c>
      <c r="F387" s="1" t="s">
        <v>24</v>
      </c>
      <c r="G387" s="1" t="s">
        <v>24</v>
      </c>
      <c r="H387" s="26">
        <v>100</v>
      </c>
      <c r="I387" s="27" t="str">
        <f>HYPERLINK("https://doc.morningstar.com/Document/60301c75f3cdc82930bfbee217469c2e.msdoc?clientid=fnz&amp;key=9c0e4d166b60ffd3","TMD")</f>
        <v>TMD</v>
      </c>
      <c r="J387" t="s">
        <v>25</v>
      </c>
      <c r="K387" s="1" t="s">
        <v>25</v>
      </c>
      <c r="L387" s="1" t="s">
        <v>25</v>
      </c>
      <c r="M387" s="1" t="s">
        <v>25</v>
      </c>
      <c r="N387" s="1" t="s">
        <v>26</v>
      </c>
      <c r="O387" s="1" t="s">
        <v>27</v>
      </c>
      <c r="P387" s="1" t="s">
        <v>27</v>
      </c>
      <c r="Q387" s="1" t="s">
        <v>26</v>
      </c>
    </row>
    <row r="388" spans="1:17" ht="16.5" customHeight="1" x14ac:dyDescent="0.25">
      <c r="A388" s="1" t="s">
        <v>52</v>
      </c>
      <c r="B388" s="1" t="s">
        <v>806</v>
      </c>
      <c r="C388" s="1" t="s">
        <v>807</v>
      </c>
      <c r="D388" s="44"/>
      <c r="E388" s="1" t="s">
        <v>45</v>
      </c>
      <c r="F388" s="1" t="s">
        <v>24</v>
      </c>
      <c r="G388" s="1" t="s">
        <v>24</v>
      </c>
      <c r="H388" s="26">
        <v>100</v>
      </c>
      <c r="I388" s="27" t="str">
        <f>HYPERLINK("https://doc.morningstar.com/Document/9a72238b9d3d705753b6b81bc1315418.msdoc?clientid=fnz&amp;key=9c0e4d166b60ffd3","TMD")</f>
        <v>TMD</v>
      </c>
      <c r="J388" t="s">
        <v>25</v>
      </c>
      <c r="K388" s="1" t="s">
        <v>25</v>
      </c>
      <c r="L388" s="1" t="s">
        <v>25</v>
      </c>
      <c r="M388" s="1" t="s">
        <v>25</v>
      </c>
      <c r="N388" s="1" t="s">
        <v>26</v>
      </c>
      <c r="O388" s="1" t="s">
        <v>27</v>
      </c>
      <c r="P388" s="1" t="s">
        <v>27</v>
      </c>
      <c r="Q388" s="1" t="s">
        <v>26</v>
      </c>
    </row>
    <row r="389" spans="1:17" ht="16.5" customHeight="1" x14ac:dyDescent="0.25">
      <c r="A389" s="1" t="s">
        <v>84</v>
      </c>
      <c r="B389" s="1" t="s">
        <v>808</v>
      </c>
      <c r="C389" s="1" t="s">
        <v>809</v>
      </c>
      <c r="D389" s="44"/>
      <c r="E389" s="1" t="s">
        <v>40</v>
      </c>
      <c r="F389" s="1" t="s">
        <v>24</v>
      </c>
      <c r="G389" s="1" t="s">
        <v>24</v>
      </c>
      <c r="H389" s="26">
        <v>100</v>
      </c>
      <c r="I389" s="27" t="str">
        <f>HYPERLINK("https://doc.morningstar.com/Document/4ef825ba6a80df98264bb050d5e3ef25.msdoc?clientid=fnz&amp;key=9c0e4d166b60ffd3","TMD")</f>
        <v>TMD</v>
      </c>
      <c r="J389" t="s">
        <v>25</v>
      </c>
      <c r="K389" s="1" t="s">
        <v>25</v>
      </c>
      <c r="L389" s="1" t="s">
        <v>25</v>
      </c>
      <c r="M389" s="1" t="s">
        <v>25</v>
      </c>
      <c r="N389" s="1" t="s">
        <v>26</v>
      </c>
      <c r="O389" s="1" t="s">
        <v>27</v>
      </c>
      <c r="P389" s="1" t="s">
        <v>27</v>
      </c>
      <c r="Q389" s="1" t="s">
        <v>26</v>
      </c>
    </row>
    <row r="390" spans="1:17" ht="16.5" customHeight="1" x14ac:dyDescent="0.25">
      <c r="A390" s="1" t="s">
        <v>37</v>
      </c>
      <c r="B390" s="1" t="s">
        <v>810</v>
      </c>
      <c r="C390" s="1" t="s">
        <v>811</v>
      </c>
      <c r="D390" s="44"/>
      <c r="E390" s="1" t="s">
        <v>40</v>
      </c>
      <c r="F390" s="1" t="s">
        <v>24</v>
      </c>
      <c r="G390" s="1" t="s">
        <v>24</v>
      </c>
      <c r="H390" s="26">
        <v>50</v>
      </c>
      <c r="I390" s="27" t="str">
        <f>HYPERLINK("https://doc.morningstar.com/Document/39e23a7451a16d05a27be4283df2cf3c.msdoc?clientid=fnz&amp;key=9c0e4d166b60ffd3","TMD")</f>
        <v>TMD</v>
      </c>
      <c r="J390" t="s">
        <v>25</v>
      </c>
      <c r="K390" s="1" t="s">
        <v>25</v>
      </c>
      <c r="L390" s="1" t="s">
        <v>25</v>
      </c>
      <c r="M390" s="1" t="s">
        <v>25</v>
      </c>
      <c r="N390" s="1" t="s">
        <v>26</v>
      </c>
      <c r="O390" s="1" t="s">
        <v>26</v>
      </c>
      <c r="P390" s="1" t="s">
        <v>27</v>
      </c>
      <c r="Q390" s="1" t="s">
        <v>27</v>
      </c>
    </row>
    <row r="391" spans="1:17" ht="16.5" customHeight="1" x14ac:dyDescent="0.25">
      <c r="A391" s="1" t="s">
        <v>31</v>
      </c>
      <c r="B391" s="1" t="s">
        <v>812</v>
      </c>
      <c r="C391" s="1" t="s">
        <v>813</v>
      </c>
      <c r="D391" s="44"/>
      <c r="E391" s="1" t="s">
        <v>23</v>
      </c>
      <c r="F391" s="1" t="s">
        <v>24</v>
      </c>
      <c r="G391" s="1" t="s">
        <v>24</v>
      </c>
      <c r="H391" s="26">
        <v>100</v>
      </c>
      <c r="I391" s="27" t="str">
        <f>HYPERLINK("https://doc.morningstar.com/Document/8982370642c1df0b20a664011933da1e.msdoc?clientid=fnz&amp;key=9c0e4d166b60ffd3","TMD")</f>
        <v>TMD</v>
      </c>
      <c r="J391" t="s">
        <v>25</v>
      </c>
      <c r="K391" s="1" t="s">
        <v>25</v>
      </c>
      <c r="L391" s="1" t="s">
        <v>25</v>
      </c>
      <c r="M391" s="1" t="s">
        <v>25</v>
      </c>
      <c r="N391" s="1" t="s">
        <v>26</v>
      </c>
      <c r="O391" s="1" t="s">
        <v>26</v>
      </c>
      <c r="P391" s="1" t="s">
        <v>27</v>
      </c>
      <c r="Q391" s="1" t="s">
        <v>27</v>
      </c>
    </row>
    <row r="392" spans="1:17" ht="16.5" customHeight="1" x14ac:dyDescent="0.25">
      <c r="A392" s="1" t="s">
        <v>34</v>
      </c>
      <c r="B392" s="1" t="s">
        <v>814</v>
      </c>
      <c r="C392" s="1" t="s">
        <v>815</v>
      </c>
      <c r="D392" s="44"/>
      <c r="E392" s="1" t="s">
        <v>23</v>
      </c>
      <c r="F392" s="1" t="s">
        <v>24</v>
      </c>
      <c r="G392" s="1" t="s">
        <v>24</v>
      </c>
      <c r="H392" s="26">
        <v>30</v>
      </c>
      <c r="I392" s="27" t="str">
        <f>HYPERLINK("https://doc.morningstar.com/Document/26b2f558697622a8280365eaf05ff531.msdoc?clientid=fnz&amp;key=9c0e4d166b60ffd3","TMD")</f>
        <v>TMD</v>
      </c>
      <c r="J392" t="s">
        <v>25</v>
      </c>
      <c r="K392" s="1" t="s">
        <v>26</v>
      </c>
      <c r="L392" s="1" t="s">
        <v>27</v>
      </c>
      <c r="M392" s="1" t="s">
        <v>27</v>
      </c>
      <c r="N392" s="1" t="s">
        <v>26</v>
      </c>
      <c r="O392" s="1" t="s">
        <v>26</v>
      </c>
      <c r="P392" s="1" t="s">
        <v>27</v>
      </c>
      <c r="Q392" s="1" t="s">
        <v>27</v>
      </c>
    </row>
    <row r="393" spans="1:17" ht="16.5" customHeight="1" x14ac:dyDescent="0.25">
      <c r="A393" s="1" t="s">
        <v>65</v>
      </c>
      <c r="B393" s="1" t="s">
        <v>816</v>
      </c>
      <c r="C393" s="1" t="s">
        <v>817</v>
      </c>
      <c r="D393" s="44"/>
      <c r="E393" s="1" t="s">
        <v>23</v>
      </c>
      <c r="F393" s="1" t="s">
        <v>24</v>
      </c>
      <c r="G393" s="1" t="s">
        <v>24</v>
      </c>
      <c r="H393" s="26">
        <v>100</v>
      </c>
      <c r="I393" s="27" t="str">
        <f>HYPERLINK("https://doc.morningstar.com/Document/2d17221f8883128b40b21c06f4856116.msdoc?clientid=fnz&amp;key=9c0e4d166b60ffd3","TMD")</f>
        <v>TMD</v>
      </c>
      <c r="J393" t="s">
        <v>25</v>
      </c>
      <c r="K393" s="1" t="s">
        <v>25</v>
      </c>
      <c r="L393" s="1" t="s">
        <v>25</v>
      </c>
      <c r="M393" s="1" t="s">
        <v>25</v>
      </c>
      <c r="N393" s="1" t="s">
        <v>27</v>
      </c>
      <c r="O393" s="1" t="s">
        <v>27</v>
      </c>
      <c r="P393" s="1" t="s">
        <v>26</v>
      </c>
      <c r="Q393" s="1" t="s">
        <v>26</v>
      </c>
    </row>
    <row r="394" spans="1:17" ht="16.5" customHeight="1" x14ac:dyDescent="0.25">
      <c r="A394" s="1" t="s">
        <v>76</v>
      </c>
      <c r="B394" s="1" t="s">
        <v>818</v>
      </c>
      <c r="C394" s="1" t="s">
        <v>819</v>
      </c>
      <c r="D394" s="44"/>
      <c r="E394" s="1" t="s">
        <v>23</v>
      </c>
      <c r="F394" s="1" t="s">
        <v>24</v>
      </c>
      <c r="G394" s="1" t="s">
        <v>24</v>
      </c>
      <c r="H394" s="26">
        <v>100</v>
      </c>
      <c r="I394" s="27" t="str">
        <f>HYPERLINK("https://doc.morningstar.com/Document/dfff0125d8616a37220f2ca3c3676a94.msdoc?clientid=fnz&amp;key=9c0e4d166b60ffd3","TMD")</f>
        <v>TMD</v>
      </c>
      <c r="J394" t="s">
        <v>25</v>
      </c>
      <c r="K394" s="1" t="s">
        <v>25</v>
      </c>
      <c r="L394" s="1" t="s">
        <v>25</v>
      </c>
      <c r="M394" s="1" t="s">
        <v>25</v>
      </c>
      <c r="N394" s="1" t="s">
        <v>26</v>
      </c>
      <c r="O394" s="1" t="s">
        <v>27</v>
      </c>
      <c r="P394" s="1" t="s">
        <v>26</v>
      </c>
      <c r="Q394" s="1" t="s">
        <v>26</v>
      </c>
    </row>
    <row r="395" spans="1:17" ht="16.5" customHeight="1" x14ac:dyDescent="0.25">
      <c r="A395" s="1" t="s">
        <v>71</v>
      </c>
      <c r="B395" s="1" t="s">
        <v>820</v>
      </c>
      <c r="C395" s="1" t="s">
        <v>821</v>
      </c>
      <c r="D395" s="44"/>
      <c r="E395" s="1" t="s">
        <v>23</v>
      </c>
      <c r="F395" s="1" t="s">
        <v>24</v>
      </c>
      <c r="G395" s="1" t="s">
        <v>24</v>
      </c>
      <c r="H395" s="26">
        <v>100</v>
      </c>
      <c r="I395" s="27" t="str">
        <f>HYPERLINK("https://doc.morningstar.com/Document/b5b9631a396c4a960bc2f6bfd96dea56.msdoc?clientid=fnz&amp;key=9c0e4d166b60ffd3","TMD")</f>
        <v>TMD</v>
      </c>
      <c r="J395" t="s">
        <v>25</v>
      </c>
      <c r="K395" s="1" t="s">
        <v>25</v>
      </c>
      <c r="L395" s="1" t="s">
        <v>25</v>
      </c>
      <c r="M395" s="1" t="s">
        <v>25</v>
      </c>
      <c r="N395" s="1" t="s">
        <v>26</v>
      </c>
      <c r="O395" s="1" t="s">
        <v>26</v>
      </c>
      <c r="P395" s="1" t="s">
        <v>27</v>
      </c>
      <c r="Q395" s="1" t="s">
        <v>26</v>
      </c>
    </row>
    <row r="396" spans="1:17" ht="16.5" customHeight="1" x14ac:dyDescent="0.25">
      <c r="A396" s="1" t="s">
        <v>31</v>
      </c>
      <c r="B396" s="1" t="s">
        <v>822</v>
      </c>
      <c r="C396" s="1" t="s">
        <v>823</v>
      </c>
      <c r="D396" s="44"/>
      <c r="E396" s="1" t="s">
        <v>23</v>
      </c>
      <c r="F396" s="1" t="s">
        <v>24</v>
      </c>
      <c r="G396" s="1" t="s">
        <v>24</v>
      </c>
      <c r="H396" s="26">
        <v>100</v>
      </c>
      <c r="I396" s="27" t="str">
        <f>HYPERLINK("https://doc.morningstar.com/Document/8ba2eb8debfdf1e7c00bfd0bc4fe03ee.msdoc?clientid=fnz&amp;key=9c0e4d166b60ffd3","TMD")</f>
        <v>TMD</v>
      </c>
      <c r="J396" t="s">
        <v>25</v>
      </c>
      <c r="K396" s="1" t="s">
        <v>25</v>
      </c>
      <c r="L396" s="1" t="s">
        <v>25</v>
      </c>
      <c r="M396" s="1" t="s">
        <v>25</v>
      </c>
      <c r="N396" s="1" t="s">
        <v>26</v>
      </c>
      <c r="O396" s="1" t="s">
        <v>26</v>
      </c>
      <c r="P396" s="1" t="s">
        <v>27</v>
      </c>
      <c r="Q396" s="1" t="s">
        <v>27</v>
      </c>
    </row>
    <row r="397" spans="1:17" ht="16.5" customHeight="1" x14ac:dyDescent="0.25">
      <c r="A397" s="1" t="s">
        <v>281</v>
      </c>
      <c r="B397" s="1" t="s">
        <v>824</v>
      </c>
      <c r="C397" s="1" t="s">
        <v>825</v>
      </c>
      <c r="D397" s="44"/>
      <c r="E397" s="1" t="s">
        <v>45</v>
      </c>
      <c r="F397" s="1" t="s">
        <v>24</v>
      </c>
      <c r="G397" s="1" t="s">
        <v>24</v>
      </c>
      <c r="H397" s="26">
        <v>100</v>
      </c>
      <c r="I397" s="27" t="str">
        <f>HYPERLINK("https://doc.morningstar.com/Document/db1c904faf821c07e78b9a7dc6038150.msdoc?clientid=fnz&amp;key=9c0e4d166b60ffd3","TMD")</f>
        <v>TMD</v>
      </c>
      <c r="J397" t="s">
        <v>25</v>
      </c>
      <c r="K397" s="1" t="s">
        <v>25</v>
      </c>
      <c r="L397" s="1" t="s">
        <v>25</v>
      </c>
      <c r="M397" s="1" t="s">
        <v>25</v>
      </c>
      <c r="N397" s="1" t="s">
        <v>26</v>
      </c>
      <c r="O397" s="1" t="s">
        <v>27</v>
      </c>
      <c r="P397" s="1" t="s">
        <v>27</v>
      </c>
      <c r="Q397" s="1" t="s">
        <v>27</v>
      </c>
    </row>
    <row r="398" spans="1:17" ht="16.5" customHeight="1" x14ac:dyDescent="0.25">
      <c r="A398" s="1" t="s">
        <v>31</v>
      </c>
      <c r="B398" s="1" t="s">
        <v>826</v>
      </c>
      <c r="C398" s="1" t="s">
        <v>827</v>
      </c>
      <c r="D398" s="44"/>
      <c r="E398" s="1" t="s">
        <v>23</v>
      </c>
      <c r="F398" s="1" t="s">
        <v>24</v>
      </c>
      <c r="G398" s="1" t="s">
        <v>24</v>
      </c>
      <c r="H398" s="26">
        <v>100</v>
      </c>
      <c r="I398" s="27" t="str">
        <f>HYPERLINK("https://doc.morningstar.com/Document/6207e686fce719471afd10bc2e4702a5.msdoc?clientid=fnz&amp;key=9c0e4d166b60ffd3","TMD")</f>
        <v>TMD</v>
      </c>
      <c r="J398" t="s">
        <v>25</v>
      </c>
      <c r="K398" s="1" t="s">
        <v>25</v>
      </c>
      <c r="L398" s="1" t="s">
        <v>25</v>
      </c>
      <c r="M398" s="1" t="s">
        <v>25</v>
      </c>
      <c r="N398" s="1" t="s">
        <v>26</v>
      </c>
      <c r="O398" s="1" t="s">
        <v>26</v>
      </c>
      <c r="P398" s="1" t="s">
        <v>27</v>
      </c>
      <c r="Q398" s="1" t="s">
        <v>27</v>
      </c>
    </row>
    <row r="399" spans="1:17" ht="16.5" customHeight="1" x14ac:dyDescent="0.25">
      <c r="A399" s="1" t="s">
        <v>28</v>
      </c>
      <c r="B399" s="1" t="s">
        <v>828</v>
      </c>
      <c r="C399" s="1" t="s">
        <v>829</v>
      </c>
      <c r="D399" s="44"/>
      <c r="E399" s="1" t="s">
        <v>23</v>
      </c>
      <c r="F399" s="1" t="s">
        <v>24</v>
      </c>
      <c r="G399" s="1" t="s">
        <v>24</v>
      </c>
      <c r="H399" s="26">
        <v>30</v>
      </c>
      <c r="I399" s="27" t="str">
        <f>HYPERLINK("https://doc.morningstar.com/Document/4f7eac22202b4633b339504d5164f4d8.msdoc?clientid=fnz&amp;key=9c0e4d166b60ffd3","TMD")</f>
        <v>TMD</v>
      </c>
      <c r="J399" t="s">
        <v>25</v>
      </c>
      <c r="K399" s="1" t="s">
        <v>25</v>
      </c>
      <c r="L399" s="1" t="s">
        <v>25</v>
      </c>
      <c r="M399" s="1" t="s">
        <v>25</v>
      </c>
      <c r="N399" s="1" t="s">
        <v>26</v>
      </c>
      <c r="O399" s="1" t="s">
        <v>26</v>
      </c>
      <c r="P399" s="1" t="s">
        <v>27</v>
      </c>
      <c r="Q399" s="1" t="s">
        <v>27</v>
      </c>
    </row>
    <row r="400" spans="1:17" ht="16.5" customHeight="1" x14ac:dyDescent="0.25">
      <c r="A400" s="1" t="s">
        <v>184</v>
      </c>
      <c r="B400" s="1" t="s">
        <v>830</v>
      </c>
      <c r="C400" s="1" t="s">
        <v>831</v>
      </c>
      <c r="D400" s="44"/>
      <c r="E400" s="1" t="s">
        <v>45</v>
      </c>
      <c r="F400" s="1" t="s">
        <v>24</v>
      </c>
      <c r="G400" s="1" t="s">
        <v>24</v>
      </c>
      <c r="H400" s="26">
        <v>100</v>
      </c>
      <c r="I400" s="27" t="str">
        <f>HYPERLINK("https://doc.morningstar.com/Document/f17cb787052441107374657f0e9ec5f5.msdoc?clientid=fnz&amp;key=9c0e4d166b60ffd3","TMD")</f>
        <v>TMD</v>
      </c>
      <c r="J400" t="s">
        <v>25</v>
      </c>
      <c r="K400" s="1" t="s">
        <v>25</v>
      </c>
      <c r="L400" s="1" t="s">
        <v>25</v>
      </c>
      <c r="M400" s="1" t="s">
        <v>25</v>
      </c>
      <c r="N400" s="1" t="s">
        <v>26</v>
      </c>
      <c r="O400" s="1" t="s">
        <v>27</v>
      </c>
      <c r="P400" s="1" t="s">
        <v>27</v>
      </c>
      <c r="Q400" s="1" t="s">
        <v>27</v>
      </c>
    </row>
    <row r="401" spans="1:17" ht="16.5" customHeight="1" x14ac:dyDescent="0.25">
      <c r="A401" s="1" t="s">
        <v>141</v>
      </c>
      <c r="B401" s="1" t="s">
        <v>832</v>
      </c>
      <c r="C401" s="1" t="s">
        <v>833</v>
      </c>
      <c r="D401" s="44"/>
      <c r="E401" s="1" t="s">
        <v>61</v>
      </c>
      <c r="F401" s="1" t="s">
        <v>195</v>
      </c>
      <c r="G401" s="1" t="s">
        <v>24</v>
      </c>
      <c r="H401" s="26">
        <v>20</v>
      </c>
      <c r="I401" s="27" t="str">
        <f>HYPERLINK("https://doc.morningstar.com/Document/c2753b99ffef78d0e44d028c21f2845f.msdoc?clientid=fnz&amp;key=9c0e4d166b60ffd3","TMD")</f>
        <v>TMD</v>
      </c>
      <c r="J401" t="s">
        <v>25</v>
      </c>
      <c r="K401" s="1" t="s">
        <v>25</v>
      </c>
      <c r="L401" s="1" t="s">
        <v>25</v>
      </c>
      <c r="M401" s="1" t="s">
        <v>25</v>
      </c>
      <c r="N401" s="1" t="s">
        <v>25</v>
      </c>
      <c r="O401" s="1" t="s">
        <v>25</v>
      </c>
      <c r="P401" s="1" t="s">
        <v>25</v>
      </c>
      <c r="Q401" s="1" t="s">
        <v>25</v>
      </c>
    </row>
    <row r="402" spans="1:17" ht="16.5" customHeight="1" x14ac:dyDescent="0.25">
      <c r="A402" s="1" t="s">
        <v>81</v>
      </c>
      <c r="B402" s="1" t="s">
        <v>834</v>
      </c>
      <c r="C402" s="1" t="s">
        <v>835</v>
      </c>
      <c r="D402" s="44"/>
      <c r="E402" s="1" t="s">
        <v>40</v>
      </c>
      <c r="F402" s="1" t="s">
        <v>24</v>
      </c>
      <c r="G402" s="1" t="s">
        <v>24</v>
      </c>
      <c r="H402" s="26">
        <v>50</v>
      </c>
      <c r="I402" s="27" t="str">
        <f>HYPERLINK("https://doc.morningstar.com/Document/246c757fa252bb10fd281ca531fc4c8f.msdoc?clientid=fnz&amp;key=9c0e4d166b60ffd3","TMD")</f>
        <v>TMD</v>
      </c>
      <c r="J402" t="s">
        <v>25</v>
      </c>
      <c r="K402" s="1" t="s">
        <v>26</v>
      </c>
      <c r="L402" s="1" t="s">
        <v>216</v>
      </c>
      <c r="M402" s="1" t="s">
        <v>27</v>
      </c>
      <c r="N402" s="1" t="s">
        <v>26</v>
      </c>
      <c r="O402" s="1" t="s">
        <v>216</v>
      </c>
      <c r="P402" s="1" t="s">
        <v>27</v>
      </c>
      <c r="Q402" s="1" t="s">
        <v>27</v>
      </c>
    </row>
    <row r="403" spans="1:17" ht="16.5" customHeight="1" x14ac:dyDescent="0.25">
      <c r="A403" s="1" t="s">
        <v>31</v>
      </c>
      <c r="B403" s="1" t="s">
        <v>836</v>
      </c>
      <c r="C403" s="1" t="s">
        <v>837</v>
      </c>
      <c r="D403" s="44"/>
      <c r="E403" s="1" t="s">
        <v>40</v>
      </c>
      <c r="F403" s="1" t="s">
        <v>24</v>
      </c>
      <c r="G403" s="1" t="s">
        <v>24</v>
      </c>
      <c r="H403" s="26">
        <v>100</v>
      </c>
      <c r="I403" s="27" t="str">
        <f>HYPERLINK("https://doc.morningstar.com/Document/b53cafd279c3c3ccd80be423a88cbabf.msdoc?clientid=fnz&amp;key=9c0e4d166b60ffd3","TMD")</f>
        <v>TMD</v>
      </c>
      <c r="J403" t="s">
        <v>25</v>
      </c>
      <c r="K403" s="1" t="s">
        <v>25</v>
      </c>
      <c r="L403" s="1" t="s">
        <v>25</v>
      </c>
      <c r="M403" s="1" t="s">
        <v>25</v>
      </c>
      <c r="N403" s="1" t="s">
        <v>26</v>
      </c>
      <c r="O403" s="1" t="s">
        <v>26</v>
      </c>
      <c r="P403" s="1" t="s">
        <v>27</v>
      </c>
      <c r="Q403" s="1" t="s">
        <v>27</v>
      </c>
    </row>
    <row r="404" spans="1:17" ht="16.5" customHeight="1" x14ac:dyDescent="0.25">
      <c r="A404" s="1" t="s">
        <v>28</v>
      </c>
      <c r="B404" s="1" t="s">
        <v>838</v>
      </c>
      <c r="C404" s="1" t="s">
        <v>839</v>
      </c>
      <c r="D404" s="44"/>
      <c r="E404" s="1" t="s">
        <v>61</v>
      </c>
      <c r="F404" s="1" t="s">
        <v>24</v>
      </c>
      <c r="G404" s="1" t="s">
        <v>24</v>
      </c>
      <c r="H404" s="26">
        <v>30</v>
      </c>
      <c r="I404" s="27" t="str">
        <f>HYPERLINK("https://doc.morningstar.com/Document/e9c00621bf28d86bbfa5e79a032b35f1.msdoc?clientid=fnz&amp;key=9c0e4d166b60ffd3","TMD")</f>
        <v>TMD</v>
      </c>
      <c r="J404" t="s">
        <v>62</v>
      </c>
      <c r="K404" s="1" t="s">
        <v>25</v>
      </c>
      <c r="L404" s="1" t="s">
        <v>25</v>
      </c>
      <c r="M404" s="1" t="s">
        <v>25</v>
      </c>
      <c r="N404" s="1" t="s">
        <v>26</v>
      </c>
      <c r="O404" s="1" t="s">
        <v>26</v>
      </c>
      <c r="P404" s="1" t="s">
        <v>26</v>
      </c>
      <c r="Q404" s="1" t="s">
        <v>27</v>
      </c>
    </row>
    <row r="405" spans="1:17" ht="16.5" customHeight="1" x14ac:dyDescent="0.25">
      <c r="A405" s="1" t="s">
        <v>31</v>
      </c>
      <c r="B405" s="1" t="s">
        <v>840</v>
      </c>
      <c r="C405" s="1" t="s">
        <v>841</v>
      </c>
      <c r="D405" s="44"/>
      <c r="E405" s="1" t="s">
        <v>40</v>
      </c>
      <c r="F405" s="1" t="s">
        <v>24</v>
      </c>
      <c r="G405" s="1" t="s">
        <v>24</v>
      </c>
      <c r="H405" s="26">
        <v>100</v>
      </c>
      <c r="I405" s="27" t="str">
        <f>HYPERLINK("https://doc.morningstar.com/Document/3c807ba4867810fee0d9f731b60cbb65.msdoc?clientid=fnz&amp;key=9c0e4d166b60ffd3","TMD")</f>
        <v>TMD</v>
      </c>
      <c r="J405" t="s">
        <v>25</v>
      </c>
      <c r="K405" s="1" t="s">
        <v>25</v>
      </c>
      <c r="L405" s="1" t="s">
        <v>25</v>
      </c>
      <c r="M405" s="1" t="s">
        <v>25</v>
      </c>
      <c r="N405" s="1" t="s">
        <v>26</v>
      </c>
      <c r="O405" s="1" t="s">
        <v>26</v>
      </c>
      <c r="P405" s="1" t="s">
        <v>26</v>
      </c>
      <c r="Q405" s="1" t="s">
        <v>27</v>
      </c>
    </row>
    <row r="406" spans="1:17" ht="16.5" customHeight="1" x14ac:dyDescent="0.25">
      <c r="A406" s="1" t="s">
        <v>37</v>
      </c>
      <c r="B406" s="1" t="s">
        <v>842</v>
      </c>
      <c r="C406" s="1" t="s">
        <v>843</v>
      </c>
      <c r="D406" s="44"/>
      <c r="E406" s="1" t="s">
        <v>40</v>
      </c>
      <c r="F406" s="1" t="s">
        <v>24</v>
      </c>
      <c r="G406" s="1" t="s">
        <v>24</v>
      </c>
      <c r="H406" s="26">
        <v>50</v>
      </c>
      <c r="I406" s="27" t="str">
        <f>HYPERLINK("https://doc.morningstar.com/Document/3c807ba4867810feb25f901894c0cba4.msdoc?clientid=fnz&amp;key=9c0e4d166b60ffd3","TMD")</f>
        <v>TMD</v>
      </c>
      <c r="J406" t="s">
        <v>25</v>
      </c>
      <c r="K406" s="1" t="s">
        <v>26</v>
      </c>
      <c r="L406" s="1" t="s">
        <v>216</v>
      </c>
      <c r="M406" s="1" t="s">
        <v>27</v>
      </c>
      <c r="N406" s="1" t="s">
        <v>26</v>
      </c>
      <c r="O406" s="1" t="s">
        <v>26</v>
      </c>
      <c r="P406" s="1" t="s">
        <v>27</v>
      </c>
      <c r="Q406" s="1" t="s">
        <v>216</v>
      </c>
    </row>
    <row r="407" spans="1:17" ht="16.5" customHeight="1" x14ac:dyDescent="0.25">
      <c r="A407" s="1" t="s">
        <v>55</v>
      </c>
      <c r="B407" s="1" t="s">
        <v>844</v>
      </c>
      <c r="C407" s="1" t="s">
        <v>845</v>
      </c>
      <c r="D407" s="44"/>
      <c r="E407" s="1" t="s">
        <v>40</v>
      </c>
      <c r="F407" s="1" t="s">
        <v>24</v>
      </c>
      <c r="G407" s="1" t="s">
        <v>24</v>
      </c>
      <c r="H407" s="26">
        <v>100</v>
      </c>
      <c r="I407" s="27" t="str">
        <f>HYPERLINK("https://doc.morningstar.com/Document/b53cafd279c3c3cc3d46d053ac7c4947.msdoc?clientid=fnz&amp;key=9c0e4d166b60ffd3","TMD")</f>
        <v>TMD</v>
      </c>
      <c r="J407" t="s">
        <v>25</v>
      </c>
      <c r="K407" s="1" t="s">
        <v>25</v>
      </c>
      <c r="L407" s="1" t="s">
        <v>25</v>
      </c>
      <c r="M407" s="1" t="s">
        <v>25</v>
      </c>
      <c r="N407" s="1" t="s">
        <v>26</v>
      </c>
      <c r="O407" s="1" t="s">
        <v>26</v>
      </c>
      <c r="P407" s="1" t="s">
        <v>27</v>
      </c>
      <c r="Q407" s="1" t="s">
        <v>27</v>
      </c>
    </row>
    <row r="408" spans="1:17" ht="16.5" customHeight="1" x14ac:dyDescent="0.25">
      <c r="A408" s="1" t="s">
        <v>58</v>
      </c>
      <c r="B408" s="1" t="s">
        <v>846</v>
      </c>
      <c r="C408" s="1" t="s">
        <v>847</v>
      </c>
      <c r="D408" s="44"/>
      <c r="E408" s="1" t="s">
        <v>61</v>
      </c>
      <c r="F408" s="1" t="s">
        <v>24</v>
      </c>
      <c r="G408" s="1" t="s">
        <v>24</v>
      </c>
      <c r="H408" s="26">
        <v>100</v>
      </c>
      <c r="I408" s="27" t="str">
        <f>HYPERLINK("https://doc.morningstar.com/Document/3c807ba4867810fe476515714f8acfbe.msdoc?clientid=fnz&amp;key=9c0e4d166b60ffd3","TMD")</f>
        <v>TMD</v>
      </c>
      <c r="J408" t="s">
        <v>62</v>
      </c>
      <c r="K408" s="1" t="s">
        <v>25</v>
      </c>
      <c r="L408" s="1" t="s">
        <v>25</v>
      </c>
      <c r="M408" s="1" t="s">
        <v>25</v>
      </c>
      <c r="N408" s="1" t="s">
        <v>26</v>
      </c>
      <c r="O408" s="1" t="s">
        <v>26</v>
      </c>
      <c r="P408" s="1" t="s">
        <v>27</v>
      </c>
      <c r="Q408" s="1" t="s">
        <v>27</v>
      </c>
    </row>
    <row r="409" spans="1:17" ht="16.5" customHeight="1" x14ac:dyDescent="0.25">
      <c r="A409" s="1" t="s">
        <v>68</v>
      </c>
      <c r="B409" s="1" t="s">
        <v>848</v>
      </c>
      <c r="C409" s="1" t="s">
        <v>849</v>
      </c>
      <c r="D409" s="44"/>
      <c r="E409" s="1" t="s">
        <v>45</v>
      </c>
      <c r="F409" s="1" t="s">
        <v>24</v>
      </c>
      <c r="G409" s="1" t="s">
        <v>24</v>
      </c>
      <c r="H409" s="26">
        <v>100</v>
      </c>
      <c r="I409" s="27" t="str">
        <f>HYPERLINK("https://doc.morningstar.com/Document/5104d4001d7530ee8f0addb2287da96d.msdoc?clientid=fnz&amp;key=9c0e4d166b60ffd3","TMD")</f>
        <v>TMD</v>
      </c>
      <c r="J409" t="s">
        <v>25</v>
      </c>
      <c r="K409" s="1" t="s">
        <v>27</v>
      </c>
      <c r="L409" s="1" t="s">
        <v>27</v>
      </c>
      <c r="M409" s="1" t="s">
        <v>27</v>
      </c>
      <c r="N409" s="1" t="s">
        <v>27</v>
      </c>
      <c r="O409" s="1" t="s">
        <v>27</v>
      </c>
      <c r="P409" s="1" t="s">
        <v>216</v>
      </c>
      <c r="Q409" s="1" t="s">
        <v>216</v>
      </c>
    </row>
    <row r="410" spans="1:17" ht="16.5" customHeight="1" x14ac:dyDescent="0.25">
      <c r="A410" s="1" t="s">
        <v>141</v>
      </c>
      <c r="B410" s="1" t="s">
        <v>850</v>
      </c>
      <c r="C410" s="1" t="s">
        <v>851</v>
      </c>
      <c r="D410" s="44"/>
      <c r="E410" s="1" t="s">
        <v>45</v>
      </c>
      <c r="F410" s="1" t="s">
        <v>195</v>
      </c>
      <c r="G410" s="1" t="s">
        <v>24</v>
      </c>
      <c r="H410" s="26">
        <v>20</v>
      </c>
      <c r="I410" s="27" t="str">
        <f>HYPERLINK("https://doc.morningstar.com/Document/4aaa83d2d8096dd3853204b3ea527fcf.msdoc?clientid=fnz&amp;key=9c0e4d166b60ffd3","TMD")</f>
        <v>TMD</v>
      </c>
      <c r="J410" t="s">
        <v>25</v>
      </c>
      <c r="K410" s="1" t="s">
        <v>26</v>
      </c>
      <c r="L410" s="1" t="s">
        <v>27</v>
      </c>
      <c r="M410" s="1" t="s">
        <v>27</v>
      </c>
      <c r="N410" s="1" t="s">
        <v>27</v>
      </c>
      <c r="O410" s="1" t="s">
        <v>27</v>
      </c>
      <c r="P410" s="1" t="s">
        <v>26</v>
      </c>
      <c r="Q410" s="1" t="s">
        <v>26</v>
      </c>
    </row>
    <row r="411" spans="1:17" ht="16.5" customHeight="1" x14ac:dyDescent="0.25">
      <c r="A411" s="1" t="s">
        <v>141</v>
      </c>
      <c r="B411" s="1" t="s">
        <v>852</v>
      </c>
      <c r="C411" s="1" t="s">
        <v>853</v>
      </c>
      <c r="D411" s="44"/>
      <c r="E411" s="1" t="s">
        <v>45</v>
      </c>
      <c r="F411" s="1" t="s">
        <v>24</v>
      </c>
      <c r="G411" s="1" t="s">
        <v>24</v>
      </c>
      <c r="H411" s="26">
        <v>20</v>
      </c>
      <c r="I411" s="27" t="str">
        <f>HYPERLINK("https://doc.morningstar.com/Document/d5b25ab985427bd3727102dbce089889.msdoc?clientid=fnz&amp;key=9c0e4d166b60ffd3","TMD")</f>
        <v>TMD</v>
      </c>
      <c r="J411" t="s">
        <v>62</v>
      </c>
      <c r="K411" s="1" t="s">
        <v>25</v>
      </c>
      <c r="L411" s="1" t="s">
        <v>25</v>
      </c>
      <c r="M411" s="1" t="s">
        <v>25</v>
      </c>
      <c r="N411" s="1" t="s">
        <v>26</v>
      </c>
      <c r="O411" s="1" t="s">
        <v>27</v>
      </c>
      <c r="P411" s="1" t="s">
        <v>27</v>
      </c>
      <c r="Q411" s="1" t="s">
        <v>27</v>
      </c>
    </row>
    <row r="412" spans="1:17" ht="16.5" customHeight="1" x14ac:dyDescent="0.25">
      <c r="A412" s="1" t="s">
        <v>68</v>
      </c>
      <c r="B412" s="1" t="s">
        <v>854</v>
      </c>
      <c r="C412" s="1" t="s">
        <v>855</v>
      </c>
      <c r="D412" s="44"/>
      <c r="E412" s="1" t="s">
        <v>45</v>
      </c>
      <c r="F412" s="1" t="s">
        <v>24</v>
      </c>
      <c r="G412" s="1" t="s">
        <v>24</v>
      </c>
      <c r="H412" s="26">
        <v>100</v>
      </c>
      <c r="I412" s="27" t="str">
        <f>HYPERLINK("https://doc.morningstar.com/Document/87eb0ab0801cd5600f5cc6aea2fc009b.msdoc?clientid=fnz&amp;key=9c0e4d166b60ffd3","TMD")</f>
        <v>TMD</v>
      </c>
      <c r="J412" t="s">
        <v>25</v>
      </c>
      <c r="K412" s="1" t="s">
        <v>25</v>
      </c>
      <c r="L412" s="1" t="s">
        <v>25</v>
      </c>
      <c r="M412" s="1" t="s">
        <v>25</v>
      </c>
      <c r="N412" s="1" t="s">
        <v>27</v>
      </c>
      <c r="O412" s="1" t="s">
        <v>27</v>
      </c>
      <c r="P412" s="1" t="s">
        <v>27</v>
      </c>
      <c r="Q412" s="1" t="s">
        <v>26</v>
      </c>
    </row>
    <row r="413" spans="1:17" ht="16.5" customHeight="1" x14ac:dyDescent="0.25">
      <c r="A413" s="1" t="s">
        <v>274</v>
      </c>
      <c r="B413" s="1" t="s">
        <v>856</v>
      </c>
      <c r="C413" s="1" t="s">
        <v>857</v>
      </c>
      <c r="D413" s="44"/>
      <c r="E413" s="1" t="s">
        <v>23</v>
      </c>
      <c r="F413" s="1" t="s">
        <v>24</v>
      </c>
      <c r="G413" s="1" t="s">
        <v>24</v>
      </c>
      <c r="H413" s="26">
        <v>100</v>
      </c>
      <c r="I413" s="27" t="str">
        <f>HYPERLINK("https://doc.morningstar.com/Document/5f2ea7b8f7736a6921e6cc4034c66d9a.msdoc?clientid=fnz&amp;key=9c0e4d166b60ffd3","TMD")</f>
        <v>TMD</v>
      </c>
      <c r="J413" t="s">
        <v>62</v>
      </c>
      <c r="K413" s="1" t="s">
        <v>26</v>
      </c>
      <c r="L413" s="1" t="s">
        <v>27</v>
      </c>
      <c r="M413" s="1" t="s">
        <v>27</v>
      </c>
      <c r="N413" s="1" t="s">
        <v>26</v>
      </c>
      <c r="O413" s="1" t="s">
        <v>27</v>
      </c>
      <c r="P413" s="1" t="s">
        <v>27</v>
      </c>
      <c r="Q413" s="1" t="s">
        <v>26</v>
      </c>
    </row>
    <row r="414" spans="1:17" ht="16.5" customHeight="1" x14ac:dyDescent="0.25">
      <c r="A414" s="1" t="s">
        <v>141</v>
      </c>
      <c r="B414" s="1" t="s">
        <v>858</v>
      </c>
      <c r="C414" s="1" t="s">
        <v>859</v>
      </c>
      <c r="D414" s="44"/>
      <c r="E414" s="1" t="s">
        <v>61</v>
      </c>
      <c r="F414" s="1" t="s">
        <v>24</v>
      </c>
      <c r="G414" s="1" t="s">
        <v>24</v>
      </c>
      <c r="H414" s="26">
        <v>20</v>
      </c>
      <c r="I414" s="27" t="str">
        <f>HYPERLINK("https://doc.morningstar.com/Document/77c6b5b1d4149e9295a7dbc1b20e53de.msdoc?clientid=fnz&amp;key=9c0e4d166b60ffd3","TMD")</f>
        <v>TMD</v>
      </c>
      <c r="J414" t="s">
        <v>25</v>
      </c>
      <c r="K414" s="1" t="s">
        <v>25</v>
      </c>
      <c r="L414" s="1" t="s">
        <v>25</v>
      </c>
      <c r="M414" s="1" t="s">
        <v>25</v>
      </c>
      <c r="N414" s="1" t="s">
        <v>26</v>
      </c>
      <c r="O414" s="1" t="s">
        <v>26</v>
      </c>
      <c r="P414" s="1" t="s">
        <v>27</v>
      </c>
      <c r="Q414" s="1" t="s">
        <v>27</v>
      </c>
    </row>
    <row r="415" spans="1:17" ht="16.5" customHeight="1" x14ac:dyDescent="0.25">
      <c r="A415" s="1" t="s">
        <v>184</v>
      </c>
      <c r="B415" s="1" t="s">
        <v>860</v>
      </c>
      <c r="C415" s="1" t="s">
        <v>861</v>
      </c>
      <c r="D415" s="44"/>
      <c r="E415" s="1" t="s">
        <v>40</v>
      </c>
      <c r="F415" s="1" t="s">
        <v>24</v>
      </c>
      <c r="G415" s="1" t="s">
        <v>24</v>
      </c>
      <c r="H415" s="26">
        <v>100</v>
      </c>
      <c r="I415" s="27" t="str">
        <f>HYPERLINK("https://doc.morningstar.com/Document/279e592c2ed2f37c40cba81c727748fb.msdoc?clientid=fnz&amp;key=9c0e4d166b60ffd3","TMD")</f>
        <v>TMD</v>
      </c>
      <c r="J415" t="s">
        <v>25</v>
      </c>
      <c r="K415" s="1" t="s">
        <v>25</v>
      </c>
      <c r="L415" s="1" t="s">
        <v>25</v>
      </c>
      <c r="M415" s="1" t="s">
        <v>25</v>
      </c>
      <c r="N415" s="1" t="s">
        <v>26</v>
      </c>
      <c r="O415" s="1" t="s">
        <v>27</v>
      </c>
      <c r="P415" s="1" t="s">
        <v>27</v>
      </c>
      <c r="Q415" s="1" t="s">
        <v>26</v>
      </c>
    </row>
    <row r="416" spans="1:17" ht="16.5" customHeight="1" x14ac:dyDescent="0.25">
      <c r="A416" s="1" t="s">
        <v>58</v>
      </c>
      <c r="B416" s="1" t="s">
        <v>862</v>
      </c>
      <c r="C416" s="1" t="s">
        <v>863</v>
      </c>
      <c r="D416" s="44"/>
      <c r="E416" s="1" t="s">
        <v>45</v>
      </c>
      <c r="F416" s="1" t="s">
        <v>24</v>
      </c>
      <c r="G416" s="1" t="s">
        <v>24</v>
      </c>
      <c r="H416" s="26">
        <v>100</v>
      </c>
      <c r="I416" s="27" t="str">
        <f>HYPERLINK("https://doc.morningstar.com/Document/0b27d3f37edf6eaaeb18ef70bea9c9ea.msdoc?clientid=fnz&amp;key=9c0e4d166b60ffd3","TMD")</f>
        <v>TMD</v>
      </c>
      <c r="J416" t="s">
        <v>25</v>
      </c>
      <c r="K416" s="1" t="s">
        <v>25</v>
      </c>
      <c r="L416" s="1" t="s">
        <v>25</v>
      </c>
      <c r="M416" s="1" t="s">
        <v>25</v>
      </c>
      <c r="N416" s="1" t="s">
        <v>26</v>
      </c>
      <c r="O416" s="1" t="s">
        <v>26</v>
      </c>
      <c r="P416" s="1" t="s">
        <v>27</v>
      </c>
      <c r="Q416" s="1" t="s">
        <v>27</v>
      </c>
    </row>
    <row r="417" spans="1:17" ht="16.5" customHeight="1" x14ac:dyDescent="0.25">
      <c r="A417" s="1" t="s">
        <v>184</v>
      </c>
      <c r="B417" s="1" t="s">
        <v>864</v>
      </c>
      <c r="C417" s="1" t="s">
        <v>865</v>
      </c>
      <c r="D417" s="44"/>
      <c r="E417" s="1" t="s">
        <v>40</v>
      </c>
      <c r="F417" s="1" t="s">
        <v>24</v>
      </c>
      <c r="G417" s="1" t="s">
        <v>24</v>
      </c>
      <c r="H417" s="26">
        <v>100</v>
      </c>
      <c r="I417" s="27" t="str">
        <f>HYPERLINK("https://doc.morningstar.com/Document/ac0ea44705b84c6024b9c5c30c25bf72.msdoc?clientid=fnz&amp;key=9c0e4d166b60ffd3","TMD")</f>
        <v>TMD</v>
      </c>
      <c r="J417" t="s">
        <v>25</v>
      </c>
      <c r="K417" s="1" t="s">
        <v>25</v>
      </c>
      <c r="L417" s="1" t="s">
        <v>25</v>
      </c>
      <c r="M417" s="1" t="s">
        <v>25</v>
      </c>
      <c r="N417" s="1" t="s">
        <v>26</v>
      </c>
      <c r="O417" s="1" t="s">
        <v>27</v>
      </c>
      <c r="P417" s="1" t="s">
        <v>27</v>
      </c>
      <c r="Q417" s="1" t="s">
        <v>26</v>
      </c>
    </row>
    <row r="418" spans="1:17" ht="16.5" customHeight="1" x14ac:dyDescent="0.25">
      <c r="A418" s="1" t="s">
        <v>184</v>
      </c>
      <c r="B418" s="1" t="s">
        <v>866</v>
      </c>
      <c r="C418" s="1" t="s">
        <v>867</v>
      </c>
      <c r="D418" s="44"/>
      <c r="E418" s="1" t="s">
        <v>40</v>
      </c>
      <c r="F418" s="1" t="s">
        <v>24</v>
      </c>
      <c r="G418" s="1" t="s">
        <v>24</v>
      </c>
      <c r="H418" s="26">
        <v>100</v>
      </c>
      <c r="I418" s="27" t="str">
        <f>HYPERLINK("https://doc.morningstar.com/Document/aaefe251066c4335de1854573e666ac5.msdoc?clientid=fnz&amp;key=9c0e4d166b60ffd3","TMD")</f>
        <v>TMD</v>
      </c>
      <c r="J418" t="s">
        <v>25</v>
      </c>
      <c r="K418" s="1" t="s">
        <v>25</v>
      </c>
      <c r="L418" s="1" t="s">
        <v>25</v>
      </c>
      <c r="M418" s="1" t="s">
        <v>25</v>
      </c>
      <c r="N418" s="1" t="s">
        <v>26</v>
      </c>
      <c r="O418" s="1" t="s">
        <v>27</v>
      </c>
      <c r="P418" s="1" t="s">
        <v>27</v>
      </c>
      <c r="Q418" s="1" t="s">
        <v>26</v>
      </c>
    </row>
    <row r="419" spans="1:17" ht="16.5" customHeight="1" x14ac:dyDescent="0.25">
      <c r="A419" s="1" t="s">
        <v>81</v>
      </c>
      <c r="B419" s="1" t="s">
        <v>868</v>
      </c>
      <c r="C419" s="1" t="s">
        <v>869</v>
      </c>
      <c r="D419" s="44"/>
      <c r="E419" s="1" t="s">
        <v>40</v>
      </c>
      <c r="F419" s="1" t="s">
        <v>24</v>
      </c>
      <c r="G419" s="1" t="s">
        <v>24</v>
      </c>
      <c r="H419" s="26">
        <v>50</v>
      </c>
      <c r="I419" s="27" t="str">
        <f>HYPERLINK("https://doc.morningstar.com/Document/1f54fbe65698793bde4362b49fee2686.msdoc?clientid=fnz&amp;key=9c0e4d166b60ffd3","TMD")</f>
        <v>TMD</v>
      </c>
      <c r="J419" t="s">
        <v>25</v>
      </c>
      <c r="K419" s="1" t="s">
        <v>25</v>
      </c>
      <c r="L419" s="1" t="s">
        <v>25</v>
      </c>
      <c r="M419" s="1" t="s">
        <v>25</v>
      </c>
      <c r="N419" s="1" t="s">
        <v>26</v>
      </c>
      <c r="O419" s="1" t="s">
        <v>26</v>
      </c>
      <c r="P419" s="1" t="s">
        <v>26</v>
      </c>
      <c r="Q419" s="1" t="s">
        <v>27</v>
      </c>
    </row>
    <row r="420" spans="1:17" ht="16.5" customHeight="1" x14ac:dyDescent="0.25">
      <c r="A420" s="1" t="s">
        <v>52</v>
      </c>
      <c r="B420" s="1" t="s">
        <v>870</v>
      </c>
      <c r="C420" s="1" t="s">
        <v>871</v>
      </c>
      <c r="D420" s="44"/>
      <c r="E420" s="1" t="s">
        <v>40</v>
      </c>
      <c r="F420" s="1" t="s">
        <v>24</v>
      </c>
      <c r="G420" s="1" t="s">
        <v>24</v>
      </c>
      <c r="H420" s="26">
        <v>100</v>
      </c>
      <c r="I420" s="27" t="str">
        <f>HYPERLINK("https://doc.morningstar.com/Document/0b27d3f37edf6eaa8789e532fab3c02e.msdoc?clientid=fnz&amp;key=9c0e4d166b60ffd3","TMD")</f>
        <v>TMD</v>
      </c>
      <c r="J420" t="s">
        <v>25</v>
      </c>
      <c r="K420" s="1" t="s">
        <v>25</v>
      </c>
      <c r="L420" s="1" t="s">
        <v>25</v>
      </c>
      <c r="M420" s="1" t="s">
        <v>25</v>
      </c>
      <c r="N420" s="1" t="s">
        <v>26</v>
      </c>
      <c r="O420" s="1" t="s">
        <v>27</v>
      </c>
      <c r="P420" s="1" t="s">
        <v>27</v>
      </c>
      <c r="Q420" s="1" t="s">
        <v>26</v>
      </c>
    </row>
    <row r="421" spans="1:17" ht="16.5" customHeight="1" x14ac:dyDescent="0.25">
      <c r="A421" s="1" t="s">
        <v>281</v>
      </c>
      <c r="B421" s="1" t="s">
        <v>872</v>
      </c>
      <c r="C421" s="1" t="s">
        <v>873</v>
      </c>
      <c r="D421" s="44"/>
      <c r="E421" s="1" t="s">
        <v>45</v>
      </c>
      <c r="F421" s="1" t="s">
        <v>24</v>
      </c>
      <c r="G421" s="1" t="s">
        <v>24</v>
      </c>
      <c r="H421" s="26">
        <v>100</v>
      </c>
      <c r="I421" s="27" t="str">
        <f>HYPERLINK("https://doc.morningstar.com/Document/271d9d9a1a5f2141aa0aee644ef11e4a.msdoc?clientid=fnz&amp;key=9c0e4d166b60ffd3","TMD")</f>
        <v>TMD</v>
      </c>
      <c r="J421" t="s">
        <v>25</v>
      </c>
      <c r="K421" s="1" t="s">
        <v>25</v>
      </c>
      <c r="L421" s="1" t="s">
        <v>25</v>
      </c>
      <c r="M421" s="1" t="s">
        <v>25</v>
      </c>
      <c r="N421" s="1" t="s">
        <v>26</v>
      </c>
      <c r="O421" s="1" t="s">
        <v>27</v>
      </c>
      <c r="P421" s="1" t="s">
        <v>27</v>
      </c>
      <c r="Q421" s="1" t="s">
        <v>26</v>
      </c>
    </row>
    <row r="422" spans="1:17" ht="16.5" customHeight="1" x14ac:dyDescent="0.25">
      <c r="A422" s="1" t="s">
        <v>31</v>
      </c>
      <c r="B422" s="1" t="s">
        <v>874</v>
      </c>
      <c r="C422" s="1" t="s">
        <v>875</v>
      </c>
      <c r="D422" s="44"/>
      <c r="E422" s="1" t="s">
        <v>40</v>
      </c>
      <c r="F422" s="1" t="s">
        <v>24</v>
      </c>
      <c r="G422" s="1" t="s">
        <v>24</v>
      </c>
      <c r="H422" s="26">
        <v>100</v>
      </c>
      <c r="I422" s="27" t="str">
        <f>HYPERLINK("https://doc.morningstar.com/Document/d5c20b5a2bebb423118d5c5e7b0d679f.msdoc?clientid=fnz&amp;key=9c0e4d166b60ffd3","TMD")</f>
        <v>TMD</v>
      </c>
      <c r="J422" t="s">
        <v>25</v>
      </c>
      <c r="K422" s="1" t="s">
        <v>25</v>
      </c>
      <c r="L422" s="1" t="s">
        <v>25</v>
      </c>
      <c r="M422" s="1" t="s">
        <v>25</v>
      </c>
      <c r="N422" s="1" t="s">
        <v>26</v>
      </c>
      <c r="O422" s="1" t="s">
        <v>26</v>
      </c>
      <c r="P422" s="1" t="s">
        <v>27</v>
      </c>
      <c r="Q422" s="1" t="s">
        <v>27</v>
      </c>
    </row>
    <row r="423" spans="1:17" ht="16.5" customHeight="1" x14ac:dyDescent="0.25">
      <c r="A423" s="1" t="s">
        <v>58</v>
      </c>
      <c r="B423" s="1" t="s">
        <v>876</v>
      </c>
      <c r="C423" s="1" t="s">
        <v>877</v>
      </c>
      <c r="D423" s="44"/>
      <c r="E423" s="1" t="s">
        <v>45</v>
      </c>
      <c r="F423" s="1" t="s">
        <v>24</v>
      </c>
      <c r="G423" s="1" t="s">
        <v>24</v>
      </c>
      <c r="H423" s="26">
        <v>100</v>
      </c>
      <c r="I423" s="27" t="str">
        <f>HYPERLINK("https://doc.morningstar.com/Document/24cda40813b6e578c96cb209b9d1b7dc.msdoc?clientid=fnz&amp;key=9c0e4d166b60ffd3","TMD")</f>
        <v>TMD</v>
      </c>
      <c r="J423" t="s">
        <v>25</v>
      </c>
      <c r="K423" s="1" t="s">
        <v>25</v>
      </c>
      <c r="L423" s="1" t="s">
        <v>25</v>
      </c>
      <c r="M423" s="1" t="s">
        <v>25</v>
      </c>
      <c r="N423" s="1" t="s">
        <v>26</v>
      </c>
      <c r="O423" s="1" t="s">
        <v>26</v>
      </c>
      <c r="P423" s="1" t="s">
        <v>27</v>
      </c>
      <c r="Q423" s="1" t="s">
        <v>27</v>
      </c>
    </row>
    <row r="424" spans="1:17" ht="16.5" customHeight="1" x14ac:dyDescent="0.25">
      <c r="A424" s="1" t="s">
        <v>58</v>
      </c>
      <c r="B424" s="1" t="s">
        <v>878</v>
      </c>
      <c r="C424" s="1" t="s">
        <v>879</v>
      </c>
      <c r="D424" s="44"/>
      <c r="E424" s="1" t="s">
        <v>45</v>
      </c>
      <c r="F424" s="1" t="s">
        <v>24</v>
      </c>
      <c r="G424" s="1" t="s">
        <v>24</v>
      </c>
      <c r="H424" s="26">
        <v>100</v>
      </c>
      <c r="I424" s="27" t="str">
        <f>HYPERLINK("https://doc.morningstar.com/Document/865f87400ac200bac60326c659395583.msdoc?clientid=fnz&amp;key=9c0e4d166b60ffd3","TMD")</f>
        <v>TMD</v>
      </c>
      <c r="J424" t="s">
        <v>25</v>
      </c>
      <c r="K424" s="1" t="s">
        <v>25</v>
      </c>
      <c r="L424" s="1" t="s">
        <v>25</v>
      </c>
      <c r="M424" s="1" t="s">
        <v>25</v>
      </c>
      <c r="N424" s="1" t="s">
        <v>26</v>
      </c>
      <c r="O424" s="1" t="s">
        <v>26</v>
      </c>
      <c r="P424" s="1" t="s">
        <v>27</v>
      </c>
      <c r="Q424" s="1" t="s">
        <v>27</v>
      </c>
    </row>
    <row r="425" spans="1:17" ht="16.5" customHeight="1" x14ac:dyDescent="0.25">
      <c r="A425" s="1" t="s">
        <v>37</v>
      </c>
      <c r="B425" s="1" t="s">
        <v>880</v>
      </c>
      <c r="C425" s="1" t="s">
        <v>881</v>
      </c>
      <c r="D425" s="44"/>
      <c r="E425" s="1" t="s">
        <v>40</v>
      </c>
      <c r="F425" s="1" t="s">
        <v>24</v>
      </c>
      <c r="G425" s="1" t="s">
        <v>24</v>
      </c>
      <c r="H425" s="26">
        <v>50</v>
      </c>
      <c r="I425" s="27" t="str">
        <f>HYPERLINK("https://doc.morningstar.com/Document/e84914ab7643030539d5af601e255256.msdoc?clientid=fnz&amp;key=9c0e4d166b60ffd3","TMD")</f>
        <v>TMD</v>
      </c>
      <c r="J425" t="s">
        <v>25</v>
      </c>
      <c r="K425" s="1" t="s">
        <v>25</v>
      </c>
      <c r="L425" s="1" t="s">
        <v>25</v>
      </c>
      <c r="M425" s="1" t="s">
        <v>25</v>
      </c>
      <c r="N425" s="1" t="s">
        <v>26</v>
      </c>
      <c r="O425" s="1" t="s">
        <v>26</v>
      </c>
      <c r="P425" s="1" t="s">
        <v>27</v>
      </c>
      <c r="Q425" s="1" t="s">
        <v>27</v>
      </c>
    </row>
    <row r="426" spans="1:17" ht="16.5" customHeight="1" x14ac:dyDescent="0.25">
      <c r="A426" s="1" t="s">
        <v>225</v>
      </c>
      <c r="B426" s="1" t="s">
        <v>882</v>
      </c>
      <c r="C426" s="1" t="s">
        <v>883</v>
      </c>
      <c r="D426" s="44"/>
      <c r="E426" s="1" t="s">
        <v>61</v>
      </c>
      <c r="F426" s="1" t="s">
        <v>24</v>
      </c>
      <c r="G426" s="1" t="s">
        <v>24</v>
      </c>
      <c r="H426" s="26">
        <v>30</v>
      </c>
      <c r="I426" s="27" t="str">
        <f>HYPERLINK("https://doc.morningstar.com/Document/3573c88e5156b5c665d9253898ea9afe.msdoc?clientid=fnz&amp;key=9c0e4d166b60ffd3","TMD")</f>
        <v>TMD</v>
      </c>
      <c r="J426" t="s">
        <v>62</v>
      </c>
      <c r="K426" s="1" t="s">
        <v>25</v>
      </c>
      <c r="L426" s="1" t="s">
        <v>25</v>
      </c>
      <c r="M426" s="1" t="s">
        <v>25</v>
      </c>
      <c r="N426" s="1" t="s">
        <v>26</v>
      </c>
      <c r="O426" s="1" t="s">
        <v>26</v>
      </c>
      <c r="P426" s="1" t="s">
        <v>27</v>
      </c>
      <c r="Q426" s="1" t="s">
        <v>27</v>
      </c>
    </row>
    <row r="427" spans="1:17" ht="16.5" customHeight="1" x14ac:dyDescent="0.25">
      <c r="A427" s="1" t="s">
        <v>31</v>
      </c>
      <c r="B427" s="1" t="s">
        <v>884</v>
      </c>
      <c r="C427" s="1" t="s">
        <v>885</v>
      </c>
      <c r="D427" s="44"/>
      <c r="E427" s="1" t="s">
        <v>40</v>
      </c>
      <c r="F427" s="1" t="s">
        <v>24</v>
      </c>
      <c r="G427" s="1" t="s">
        <v>24</v>
      </c>
      <c r="H427" s="26">
        <v>100</v>
      </c>
      <c r="I427" s="27" t="str">
        <f>HYPERLINK("https://doc.morningstar.com/Document/0b27d3f37edf6eaa564cfc1edc45d09c.msdoc?clientid=fnz&amp;key=9c0e4d166b60ffd3","TMD")</f>
        <v>TMD</v>
      </c>
      <c r="J427" t="s">
        <v>25</v>
      </c>
      <c r="K427" s="1" t="s">
        <v>25</v>
      </c>
      <c r="L427" s="1" t="s">
        <v>25</v>
      </c>
      <c r="M427" s="1" t="s">
        <v>25</v>
      </c>
      <c r="N427" s="1" t="s">
        <v>26</v>
      </c>
      <c r="O427" s="1" t="s">
        <v>26</v>
      </c>
      <c r="P427" s="1" t="s">
        <v>27</v>
      </c>
      <c r="Q427" s="1" t="s">
        <v>27</v>
      </c>
    </row>
    <row r="428" spans="1:17" ht="16.5" customHeight="1" x14ac:dyDescent="0.25">
      <c r="A428" s="1" t="s">
        <v>34</v>
      </c>
      <c r="B428" s="1" t="s">
        <v>886</v>
      </c>
      <c r="C428" s="1" t="s">
        <v>887</v>
      </c>
      <c r="D428" s="44"/>
      <c r="E428" s="1" t="s">
        <v>40</v>
      </c>
      <c r="F428" s="1" t="s">
        <v>24</v>
      </c>
      <c r="G428" s="1" t="s">
        <v>24</v>
      </c>
      <c r="H428" s="26">
        <v>30</v>
      </c>
      <c r="I428" s="27" t="str">
        <f>HYPERLINK("https://doc.morningstar.com/Document/9d5149fc6d771a58ef484b9dfc37d6e8.msdoc?clientid=fnz&amp;key=9c0e4d166b60ffd3","TMD")</f>
        <v>TMD</v>
      </c>
      <c r="J428" t="s">
        <v>25</v>
      </c>
      <c r="K428" s="1" t="s">
        <v>25</v>
      </c>
      <c r="L428" s="1" t="s">
        <v>25</v>
      </c>
      <c r="M428" s="1" t="s">
        <v>25</v>
      </c>
      <c r="N428" s="1" t="s">
        <v>26</v>
      </c>
      <c r="O428" s="1" t="s">
        <v>26</v>
      </c>
      <c r="P428" s="1" t="s">
        <v>26</v>
      </c>
      <c r="Q428" s="1" t="s">
        <v>27</v>
      </c>
    </row>
    <row r="429" spans="1:17" ht="16.5" customHeight="1" x14ac:dyDescent="0.25">
      <c r="A429" s="1" t="s">
        <v>58</v>
      </c>
      <c r="B429" s="1" t="s">
        <v>888</v>
      </c>
      <c r="C429" s="1" t="s">
        <v>889</v>
      </c>
      <c r="D429" s="44"/>
      <c r="E429" s="1" t="s">
        <v>45</v>
      </c>
      <c r="F429" s="1" t="s">
        <v>24</v>
      </c>
      <c r="G429" s="1" t="s">
        <v>24</v>
      </c>
      <c r="H429" s="26">
        <v>100</v>
      </c>
      <c r="I429" s="27" t="str">
        <f>HYPERLINK("https://doc.morningstar.com/Document/381cfb6f01cf98728b787a4311692ab2.msdoc?clientid=fnz&amp;key=9c0e4d166b60ffd3","TMD")</f>
        <v>TMD</v>
      </c>
      <c r="J429" t="s">
        <v>25</v>
      </c>
      <c r="K429" s="1" t="s">
        <v>25</v>
      </c>
      <c r="L429" s="1" t="s">
        <v>25</v>
      </c>
      <c r="M429" s="1" t="s">
        <v>25</v>
      </c>
      <c r="N429" s="1" t="s">
        <v>26</v>
      </c>
      <c r="O429" s="1" t="s">
        <v>26</v>
      </c>
      <c r="P429" s="1" t="s">
        <v>27</v>
      </c>
      <c r="Q429" s="1" t="s">
        <v>27</v>
      </c>
    </row>
    <row r="430" spans="1:17" ht="16.5" customHeight="1" x14ac:dyDescent="0.25">
      <c r="A430" s="1" t="s">
        <v>141</v>
      </c>
      <c r="B430" s="1" t="s">
        <v>890</v>
      </c>
      <c r="C430" s="1" t="s">
        <v>891</v>
      </c>
      <c r="D430" s="44"/>
      <c r="E430" s="1" t="s">
        <v>45</v>
      </c>
      <c r="F430" s="1" t="s">
        <v>24</v>
      </c>
      <c r="G430" s="1" t="s">
        <v>24</v>
      </c>
      <c r="H430" s="26">
        <v>20</v>
      </c>
      <c r="I430" s="27" t="str">
        <f>HYPERLINK("https://doc.morningstar.com/Document/3fc81d296c55f6a7b8ba0a93e6c01c67.msdoc?clientid=fnz&amp;key=9c0e4d166b60ffd3","TMD")</f>
        <v>TMD</v>
      </c>
      <c r="J430" t="s">
        <v>25</v>
      </c>
      <c r="K430" s="1" t="s">
        <v>25</v>
      </c>
      <c r="L430" s="1" t="s">
        <v>25</v>
      </c>
      <c r="M430" s="1" t="s">
        <v>25</v>
      </c>
      <c r="N430" s="1" t="s">
        <v>26</v>
      </c>
      <c r="O430" s="1" t="s">
        <v>26</v>
      </c>
      <c r="P430" s="1" t="s">
        <v>27</v>
      </c>
      <c r="Q430" s="1" t="s">
        <v>27</v>
      </c>
    </row>
    <row r="431" spans="1:17" ht="16.5" customHeight="1" x14ac:dyDescent="0.25">
      <c r="A431" s="1" t="s">
        <v>58</v>
      </c>
      <c r="B431" s="1" t="s">
        <v>892</v>
      </c>
      <c r="C431" s="1" t="s">
        <v>893</v>
      </c>
      <c r="D431" s="44"/>
      <c r="E431" s="1" t="s">
        <v>61</v>
      </c>
      <c r="F431" s="1" t="s">
        <v>24</v>
      </c>
      <c r="G431" s="1" t="s">
        <v>24</v>
      </c>
      <c r="H431" s="26">
        <v>100</v>
      </c>
      <c r="I431" s="27" t="str">
        <f>HYPERLINK("https://doc.morningstar.com/Document/7b2277c822e2b9492e06c239dced2216.msdoc?clientid=fnz&amp;key=9c0e4d166b60ffd3","TMD")</f>
        <v>TMD</v>
      </c>
      <c r="J431" t="s">
        <v>25</v>
      </c>
      <c r="K431" s="1" t="s">
        <v>25</v>
      </c>
      <c r="L431" s="1" t="s">
        <v>25</v>
      </c>
      <c r="M431" s="1" t="s">
        <v>25</v>
      </c>
      <c r="N431" s="1" t="s">
        <v>26</v>
      </c>
      <c r="O431" s="1" t="s">
        <v>26</v>
      </c>
      <c r="P431" s="1" t="s">
        <v>27</v>
      </c>
      <c r="Q431" s="1" t="s">
        <v>27</v>
      </c>
    </row>
    <row r="432" spans="1:17" ht="16.5" customHeight="1" x14ac:dyDescent="0.25">
      <c r="A432" s="1" t="s">
        <v>58</v>
      </c>
      <c r="B432" s="1" t="s">
        <v>894</v>
      </c>
      <c r="C432" s="1" t="s">
        <v>895</v>
      </c>
      <c r="D432" s="44"/>
      <c r="E432" s="1" t="s">
        <v>45</v>
      </c>
      <c r="F432" s="1" t="s">
        <v>24</v>
      </c>
      <c r="G432" s="1" t="s">
        <v>24</v>
      </c>
      <c r="H432" s="26">
        <v>100</v>
      </c>
      <c r="I432" s="27" t="str">
        <f>HYPERLINK("https://doc.morningstar.com/Document/0b27d3f37edf6eaa28f732441d044af0.msdoc?clientid=fnz&amp;key=9c0e4d166b60ffd3","TMD")</f>
        <v>TMD</v>
      </c>
      <c r="J432" t="s">
        <v>25</v>
      </c>
      <c r="K432" s="1" t="s">
        <v>25</v>
      </c>
      <c r="L432" s="1" t="s">
        <v>25</v>
      </c>
      <c r="M432" s="1" t="s">
        <v>25</v>
      </c>
      <c r="N432" s="1" t="s">
        <v>26</v>
      </c>
      <c r="O432" s="1" t="s">
        <v>26</v>
      </c>
      <c r="P432" s="1" t="s">
        <v>27</v>
      </c>
      <c r="Q432" s="1" t="s">
        <v>27</v>
      </c>
    </row>
    <row r="433" spans="1:17" ht="16.5" customHeight="1" x14ac:dyDescent="0.25">
      <c r="A433" s="1" t="s">
        <v>225</v>
      </c>
      <c r="B433" s="1" t="s">
        <v>896</v>
      </c>
      <c r="C433" s="1" t="s">
        <v>897</v>
      </c>
      <c r="D433" s="44"/>
      <c r="E433" s="1" t="s">
        <v>61</v>
      </c>
      <c r="F433" s="1" t="s">
        <v>24</v>
      </c>
      <c r="G433" s="1" t="s">
        <v>24</v>
      </c>
      <c r="H433" s="26">
        <v>30</v>
      </c>
      <c r="I433" s="27" t="str">
        <f>HYPERLINK("https://doc.morningstar.com/Document/75da551938149846c7f77ed619987fa5.msdoc?clientid=fnz&amp;key=9c0e4d166b60ffd3","TMD")</f>
        <v>TMD</v>
      </c>
      <c r="J433" t="s">
        <v>62</v>
      </c>
      <c r="K433" s="1" t="s">
        <v>25</v>
      </c>
      <c r="L433" s="1" t="s">
        <v>25</v>
      </c>
      <c r="M433" s="1" t="s">
        <v>25</v>
      </c>
      <c r="N433" s="1" t="s">
        <v>26</v>
      </c>
      <c r="O433" s="1" t="s">
        <v>26</v>
      </c>
      <c r="P433" s="1" t="s">
        <v>27</v>
      </c>
      <c r="Q433" s="1" t="s">
        <v>27</v>
      </c>
    </row>
    <row r="434" spans="1:17" ht="16.5" customHeight="1" x14ac:dyDescent="0.25">
      <c r="A434" s="1" t="s">
        <v>52</v>
      </c>
      <c r="B434" s="1" t="s">
        <v>898</v>
      </c>
      <c r="C434" s="1" t="s">
        <v>899</v>
      </c>
      <c r="D434" s="44"/>
      <c r="E434" s="1" t="s">
        <v>40</v>
      </c>
      <c r="F434" s="1" t="s">
        <v>24</v>
      </c>
      <c r="G434" s="1" t="s">
        <v>24</v>
      </c>
      <c r="H434" s="26">
        <v>100</v>
      </c>
      <c r="I434" s="27" t="str">
        <f>HYPERLINK("https://doc.morningstar.com/Document/d8502432bf4d01490521709cb9078866.msdoc?clientid=fnz&amp;key=9c0e4d166b60ffd3","TMD")</f>
        <v>TMD</v>
      </c>
      <c r="J434" t="s">
        <v>25</v>
      </c>
      <c r="K434" s="1" t="s">
        <v>25</v>
      </c>
      <c r="L434" s="1" t="s">
        <v>25</v>
      </c>
      <c r="M434" s="1" t="s">
        <v>25</v>
      </c>
      <c r="N434" s="1" t="s">
        <v>26</v>
      </c>
      <c r="O434" s="1" t="s">
        <v>27</v>
      </c>
      <c r="P434" s="1" t="s">
        <v>27</v>
      </c>
      <c r="Q434" s="1" t="s">
        <v>26</v>
      </c>
    </row>
    <row r="435" spans="1:17" ht="16.5" customHeight="1" x14ac:dyDescent="0.25">
      <c r="A435" s="1" t="s">
        <v>58</v>
      </c>
      <c r="B435" s="1" t="s">
        <v>900</v>
      </c>
      <c r="C435" s="1" t="s">
        <v>901</v>
      </c>
      <c r="D435" s="44"/>
      <c r="E435" s="1" t="s">
        <v>45</v>
      </c>
      <c r="F435" s="1" t="s">
        <v>24</v>
      </c>
      <c r="G435" s="1" t="s">
        <v>24</v>
      </c>
      <c r="H435" s="26">
        <v>100</v>
      </c>
      <c r="I435" s="27" t="str">
        <f>HYPERLINK("https://doc.morningstar.com/Document/8a3fba15994464c97c1b34ab1d34641e.msdoc?clientid=fnz&amp;key=9c0e4d166b60ffd3","TMD")</f>
        <v>TMD</v>
      </c>
      <c r="J435" t="s">
        <v>25</v>
      </c>
      <c r="K435" s="1" t="s">
        <v>25</v>
      </c>
      <c r="L435" s="1" t="s">
        <v>25</v>
      </c>
      <c r="M435" s="1" t="s">
        <v>25</v>
      </c>
      <c r="N435" s="1" t="s">
        <v>26</v>
      </c>
      <c r="O435" s="1" t="s">
        <v>26</v>
      </c>
      <c r="P435" s="1" t="s">
        <v>27</v>
      </c>
      <c r="Q435" s="1" t="s">
        <v>27</v>
      </c>
    </row>
    <row r="436" spans="1:17" ht="16.5" customHeight="1" x14ac:dyDescent="0.25">
      <c r="A436" s="1" t="s">
        <v>81</v>
      </c>
      <c r="B436" s="1" t="s">
        <v>902</v>
      </c>
      <c r="C436" s="1" t="s">
        <v>903</v>
      </c>
      <c r="D436" s="44"/>
      <c r="E436" s="1" t="s">
        <v>40</v>
      </c>
      <c r="F436" s="1" t="s">
        <v>24</v>
      </c>
      <c r="G436" s="1" t="s">
        <v>24</v>
      </c>
      <c r="H436" s="26">
        <v>50</v>
      </c>
      <c r="I436" s="27" t="str">
        <f>HYPERLINK("https://doc.morningstar.com/Document/180c010408be4f4406a24a0da4448754.msdoc?clientid=fnz&amp;key=9c0e4d166b60ffd3","TMD")</f>
        <v>TMD</v>
      </c>
      <c r="J436" t="s">
        <v>62</v>
      </c>
      <c r="K436" s="1" t="s">
        <v>26</v>
      </c>
      <c r="L436" s="1" t="s">
        <v>26</v>
      </c>
      <c r="M436" s="1" t="s">
        <v>27</v>
      </c>
      <c r="N436" s="1" t="s">
        <v>26</v>
      </c>
      <c r="O436" s="1" t="s">
        <v>27</v>
      </c>
      <c r="P436" s="1" t="s">
        <v>27</v>
      </c>
      <c r="Q436" s="1" t="s">
        <v>27</v>
      </c>
    </row>
    <row r="437" spans="1:17" ht="16.5" customHeight="1" x14ac:dyDescent="0.25">
      <c r="A437" s="1" t="s">
        <v>81</v>
      </c>
      <c r="B437" s="1" t="s">
        <v>904</v>
      </c>
      <c r="C437" s="1" t="s">
        <v>905</v>
      </c>
      <c r="D437" s="44"/>
      <c r="E437" s="1" t="s">
        <v>40</v>
      </c>
      <c r="F437" s="1" t="s">
        <v>24</v>
      </c>
      <c r="G437" s="1" t="s">
        <v>24</v>
      </c>
      <c r="H437" s="26">
        <v>50</v>
      </c>
      <c r="I437" s="27" t="str">
        <f>HYPERLINK("https://doc.morningstar.com/Document/17b95422d19334de011558c275050f63.msdoc?clientid=fnz&amp;key=9c0e4d166b60ffd3","TMD")</f>
        <v>TMD</v>
      </c>
      <c r="J437" t="s">
        <v>62</v>
      </c>
      <c r="K437" s="1" t="s">
        <v>26</v>
      </c>
      <c r="L437" s="1" t="s">
        <v>26</v>
      </c>
      <c r="M437" s="1" t="s">
        <v>27</v>
      </c>
      <c r="N437" s="1" t="s">
        <v>26</v>
      </c>
      <c r="O437" s="1" t="s">
        <v>27</v>
      </c>
      <c r="P437" s="1" t="s">
        <v>27</v>
      </c>
      <c r="Q437" s="1" t="s">
        <v>27</v>
      </c>
    </row>
    <row r="438" spans="1:17" ht="16.5" customHeight="1" x14ac:dyDescent="0.25">
      <c r="A438" s="1" t="s">
        <v>58</v>
      </c>
      <c r="B438" s="1" t="s">
        <v>906</v>
      </c>
      <c r="C438" s="1" t="s">
        <v>907</v>
      </c>
      <c r="D438" s="44"/>
      <c r="E438" s="1" t="s">
        <v>23</v>
      </c>
      <c r="F438" s="1" t="s">
        <v>24</v>
      </c>
      <c r="G438" s="1" t="s">
        <v>24</v>
      </c>
      <c r="H438" s="26">
        <v>100</v>
      </c>
      <c r="I438" s="27" t="str">
        <f>HYPERLINK("https://doc.morningstar.com/Document/e84914ab76430305409528e6d3cfd3c4.msdoc?clientid=fnz&amp;key=9c0e4d166b60ffd3","TMD")</f>
        <v>TMD</v>
      </c>
      <c r="J438" t="s">
        <v>25</v>
      </c>
      <c r="K438" s="1" t="s">
        <v>25</v>
      </c>
      <c r="L438" s="1" t="s">
        <v>25</v>
      </c>
      <c r="M438" s="1" t="s">
        <v>25</v>
      </c>
      <c r="N438" s="1" t="s">
        <v>26</v>
      </c>
      <c r="O438" s="1" t="s">
        <v>26</v>
      </c>
      <c r="P438" s="1" t="s">
        <v>27</v>
      </c>
      <c r="Q438" s="1" t="s">
        <v>27</v>
      </c>
    </row>
    <row r="439" spans="1:17" ht="16.5" customHeight="1" x14ac:dyDescent="0.25">
      <c r="A439" s="1" t="s">
        <v>58</v>
      </c>
      <c r="B439" s="1" t="s">
        <v>908</v>
      </c>
      <c r="C439" s="1" t="s">
        <v>909</v>
      </c>
      <c r="D439" s="44"/>
      <c r="E439" s="1" t="s">
        <v>61</v>
      </c>
      <c r="F439" s="1" t="s">
        <v>24</v>
      </c>
      <c r="G439" s="1" t="s">
        <v>24</v>
      </c>
      <c r="H439" s="26">
        <v>100</v>
      </c>
      <c r="I439" s="27" t="str">
        <f>HYPERLINK("https://doc.morningstar.com/Document/646c144580904ae9cb5179316d822dd2.msdoc?clientid=fnz&amp;key=9c0e4d166b60ffd3","TMD")</f>
        <v>TMD</v>
      </c>
      <c r="J439" t="s">
        <v>25</v>
      </c>
      <c r="K439" s="1" t="s">
        <v>25</v>
      </c>
      <c r="L439" s="1" t="s">
        <v>25</v>
      </c>
      <c r="M439" s="1" t="s">
        <v>25</v>
      </c>
      <c r="N439" s="1" t="s">
        <v>26</v>
      </c>
      <c r="O439" s="1" t="s">
        <v>26</v>
      </c>
      <c r="P439" s="1" t="s">
        <v>27</v>
      </c>
      <c r="Q439" s="1" t="s">
        <v>27</v>
      </c>
    </row>
    <row r="440" spans="1:17" ht="16.5" customHeight="1" x14ac:dyDescent="0.25">
      <c r="A440" s="1" t="s">
        <v>274</v>
      </c>
      <c r="B440" s="1" t="s">
        <v>910</v>
      </c>
      <c r="C440" s="1" t="s">
        <v>911</v>
      </c>
      <c r="D440" s="44"/>
      <c r="E440" s="1" t="s">
        <v>45</v>
      </c>
      <c r="F440" s="1" t="s">
        <v>24</v>
      </c>
      <c r="G440" s="1" t="s">
        <v>24</v>
      </c>
      <c r="H440" s="26">
        <v>100</v>
      </c>
      <c r="I440" s="27" t="str">
        <f>HYPERLINK("https://doc.morningstar.com/Document/631ecbae4e7016e577f4d6856d655c9a.msdoc?clientid=fnz&amp;key=9c0e4d166b60ffd3","TMD")</f>
        <v>TMD</v>
      </c>
      <c r="J440" t="s">
        <v>25</v>
      </c>
      <c r="K440" s="1" t="s">
        <v>25</v>
      </c>
      <c r="L440" s="1" t="s">
        <v>25</v>
      </c>
      <c r="M440" s="1" t="s">
        <v>25</v>
      </c>
      <c r="N440" s="1" t="s">
        <v>26</v>
      </c>
      <c r="O440" s="1" t="s">
        <v>27</v>
      </c>
      <c r="P440" s="1" t="s">
        <v>27</v>
      </c>
      <c r="Q440" s="1" t="s">
        <v>26</v>
      </c>
    </row>
    <row r="441" spans="1:17" ht="16.5" customHeight="1" x14ac:dyDescent="0.25">
      <c r="A441" s="1" t="s">
        <v>81</v>
      </c>
      <c r="B441" s="1" t="s">
        <v>912</v>
      </c>
      <c r="C441" s="1" t="s">
        <v>913</v>
      </c>
      <c r="D441" s="44"/>
      <c r="E441" s="1" t="s">
        <v>45</v>
      </c>
      <c r="F441" s="1" t="s">
        <v>24</v>
      </c>
      <c r="G441" s="1" t="s">
        <v>24</v>
      </c>
      <c r="H441" s="26">
        <v>50</v>
      </c>
      <c r="I441" s="27" t="str">
        <f>HYPERLINK("https://doc.morningstar.com/Document/46c94120940f2863cf356a05b88b8799.msdoc?clientid=fnz&amp;key=9c0e4d166b60ffd3","TMD")</f>
        <v>TMD</v>
      </c>
      <c r="J441" t="s">
        <v>62</v>
      </c>
      <c r="K441" s="1" t="s">
        <v>26</v>
      </c>
      <c r="L441" s="1" t="s">
        <v>26</v>
      </c>
      <c r="M441" s="1" t="s">
        <v>27</v>
      </c>
      <c r="N441" s="1" t="s">
        <v>26</v>
      </c>
      <c r="O441" s="1" t="s">
        <v>27</v>
      </c>
      <c r="P441" s="1" t="s">
        <v>27</v>
      </c>
      <c r="Q441" s="1" t="s">
        <v>27</v>
      </c>
    </row>
    <row r="442" spans="1:17" ht="16.5" customHeight="1" x14ac:dyDescent="0.25">
      <c r="A442" s="1" t="s">
        <v>34</v>
      </c>
      <c r="B442" s="1" t="s">
        <v>914</v>
      </c>
      <c r="C442" s="1" t="s">
        <v>915</v>
      </c>
      <c r="D442" s="44"/>
      <c r="E442" s="1" t="s">
        <v>40</v>
      </c>
      <c r="F442" s="1" t="s">
        <v>24</v>
      </c>
      <c r="G442" s="1" t="s">
        <v>24</v>
      </c>
      <c r="H442" s="26">
        <v>30</v>
      </c>
      <c r="I442" s="27" t="str">
        <f>HYPERLINK("https://doc.morningstar.com/Document/5655ef9130c19fd5af2b228eacf4c3fc.msdoc?clientid=fnz&amp;key=9c0e4d166b60ffd3","TMD")</f>
        <v>TMD</v>
      </c>
      <c r="J442" t="s">
        <v>25</v>
      </c>
      <c r="K442" s="1" t="s">
        <v>25</v>
      </c>
      <c r="L442" s="1" t="s">
        <v>25</v>
      </c>
      <c r="M442" s="1" t="s">
        <v>25</v>
      </c>
      <c r="N442" s="1" t="s">
        <v>26</v>
      </c>
      <c r="O442" s="1" t="s">
        <v>26</v>
      </c>
      <c r="P442" s="1" t="s">
        <v>26</v>
      </c>
      <c r="Q442" s="1" t="s">
        <v>27</v>
      </c>
    </row>
    <row r="443" spans="1:17" ht="16.5" customHeight="1" x14ac:dyDescent="0.25">
      <c r="A443" s="1" t="s">
        <v>58</v>
      </c>
      <c r="B443" s="1" t="s">
        <v>916</v>
      </c>
      <c r="C443" s="1" t="s">
        <v>917</v>
      </c>
      <c r="D443" s="44"/>
      <c r="E443" s="1" t="s">
        <v>45</v>
      </c>
      <c r="F443" s="1" t="s">
        <v>24</v>
      </c>
      <c r="G443" s="1" t="s">
        <v>24</v>
      </c>
      <c r="H443" s="26">
        <v>100</v>
      </c>
      <c r="I443" s="27" t="str">
        <f>HYPERLINK("https://doc.morningstar.com/Document/b2543bef06b14b5a068e41508e52cfe8.msdoc?clientid=fnz&amp;key=9c0e4d166b60ffd3","TMD")</f>
        <v>TMD</v>
      </c>
      <c r="J443" t="s">
        <v>25</v>
      </c>
      <c r="K443" s="1" t="s">
        <v>25</v>
      </c>
      <c r="L443" s="1" t="s">
        <v>25</v>
      </c>
      <c r="M443" s="1" t="s">
        <v>25</v>
      </c>
      <c r="N443" s="1" t="s">
        <v>26</v>
      </c>
      <c r="O443" s="1" t="s">
        <v>26</v>
      </c>
      <c r="P443" s="1" t="s">
        <v>27</v>
      </c>
      <c r="Q443" s="1" t="s">
        <v>27</v>
      </c>
    </row>
    <row r="444" spans="1:17" ht="16.5" customHeight="1" x14ac:dyDescent="0.25">
      <c r="A444" s="1" t="s">
        <v>58</v>
      </c>
      <c r="B444" s="1" t="s">
        <v>918</v>
      </c>
      <c r="C444" s="1" t="s">
        <v>919</v>
      </c>
      <c r="D444" s="44"/>
      <c r="E444" s="1" t="s">
        <v>23</v>
      </c>
      <c r="F444" s="1" t="s">
        <v>24</v>
      </c>
      <c r="G444" s="1" t="s">
        <v>24</v>
      </c>
      <c r="H444" s="26">
        <v>100</v>
      </c>
      <c r="I444" s="27" t="str">
        <f>HYPERLINK("https://doc.morningstar.com/Document/7619b2654e301234142c304eda8ce884.msdoc?clientid=fnz&amp;key=9c0e4d166b60ffd3","TMD")</f>
        <v>TMD</v>
      </c>
      <c r="J444" t="s">
        <v>25</v>
      </c>
      <c r="K444" s="1" t="s">
        <v>25</v>
      </c>
      <c r="L444" s="1" t="s">
        <v>25</v>
      </c>
      <c r="M444" s="1" t="s">
        <v>25</v>
      </c>
      <c r="N444" s="1" t="s">
        <v>26</v>
      </c>
      <c r="O444" s="1" t="s">
        <v>26</v>
      </c>
      <c r="P444" s="1" t="s">
        <v>27</v>
      </c>
      <c r="Q444" s="1" t="s">
        <v>27</v>
      </c>
    </row>
    <row r="445" spans="1:17" ht="16.5" customHeight="1" x14ac:dyDescent="0.25">
      <c r="A445" s="1" t="s">
        <v>37</v>
      </c>
      <c r="B445" s="1" t="s">
        <v>920</v>
      </c>
      <c r="C445" s="1" t="s">
        <v>921</v>
      </c>
      <c r="D445" s="44"/>
      <c r="E445" s="1" t="s">
        <v>23</v>
      </c>
      <c r="F445" s="1" t="s">
        <v>24</v>
      </c>
      <c r="G445" s="1" t="s">
        <v>24</v>
      </c>
      <c r="H445" s="26">
        <v>50</v>
      </c>
      <c r="I445" s="27" t="str">
        <f>HYPERLINK("https://doc.morningstar.com/Document/a085a0687aa76d81c2a7b8042f4d7e3a.msdoc?clientid=fnz&amp;key=9c0e4d166b60ffd3","TMD")</f>
        <v>TMD</v>
      </c>
      <c r="J445" t="s">
        <v>25</v>
      </c>
      <c r="K445" s="1" t="s">
        <v>25</v>
      </c>
      <c r="L445" s="1" t="s">
        <v>25</v>
      </c>
      <c r="M445" s="1" t="s">
        <v>25</v>
      </c>
      <c r="N445" s="1" t="s">
        <v>26</v>
      </c>
      <c r="O445" s="1" t="s">
        <v>26</v>
      </c>
      <c r="P445" s="1" t="s">
        <v>27</v>
      </c>
      <c r="Q445" s="1" t="s">
        <v>27</v>
      </c>
    </row>
    <row r="446" spans="1:17" ht="16.5" customHeight="1" x14ac:dyDescent="0.25">
      <c r="A446" s="1" t="s">
        <v>58</v>
      </c>
      <c r="B446" s="1" t="s">
        <v>922</v>
      </c>
      <c r="C446" s="1" t="s">
        <v>923</v>
      </c>
      <c r="D446" s="44"/>
      <c r="E446" s="1" t="s">
        <v>23</v>
      </c>
      <c r="F446" s="1" t="s">
        <v>24</v>
      </c>
      <c r="G446" s="1" t="s">
        <v>24</v>
      </c>
      <c r="H446" s="26">
        <v>100</v>
      </c>
      <c r="I446" s="27" t="str">
        <f>HYPERLINK("https://doc.morningstar.com/Document/13c80db254ca9f6eafe4b75fb665358a.msdoc?clientid=fnz&amp;key=9c0e4d166b60ffd3","TMD")</f>
        <v>TMD</v>
      </c>
      <c r="J446" t="s">
        <v>25</v>
      </c>
      <c r="K446" s="1" t="s">
        <v>25</v>
      </c>
      <c r="L446" s="1" t="s">
        <v>25</v>
      </c>
      <c r="M446" s="1" t="s">
        <v>25</v>
      </c>
      <c r="N446" s="1" t="s">
        <v>26</v>
      </c>
      <c r="O446" s="1" t="s">
        <v>26</v>
      </c>
      <c r="P446" s="1" t="s">
        <v>27</v>
      </c>
      <c r="Q446" s="1" t="s">
        <v>27</v>
      </c>
    </row>
    <row r="447" spans="1:17" ht="16.5" customHeight="1" x14ac:dyDescent="0.25">
      <c r="A447" s="1" t="s">
        <v>37</v>
      </c>
      <c r="B447" s="1" t="s">
        <v>924</v>
      </c>
      <c r="C447" s="1" t="s">
        <v>925</v>
      </c>
      <c r="D447" s="44"/>
      <c r="E447" s="1" t="s">
        <v>23</v>
      </c>
      <c r="F447" s="1" t="s">
        <v>24</v>
      </c>
      <c r="G447" s="1" t="s">
        <v>24</v>
      </c>
      <c r="H447" s="26">
        <v>50</v>
      </c>
      <c r="I447" s="27" t="str">
        <f>HYPERLINK("https://doc.morningstar.com/Document/7619b2654e301234a2fb389d0ca522bc.msdoc?clientid=fnz&amp;key=9c0e4d166b60ffd3","TMD")</f>
        <v>TMD</v>
      </c>
      <c r="J447" t="s">
        <v>25</v>
      </c>
      <c r="K447" s="1" t="s">
        <v>25</v>
      </c>
      <c r="L447" s="1" t="s">
        <v>25</v>
      </c>
      <c r="M447" s="1" t="s">
        <v>25</v>
      </c>
      <c r="N447" s="1" t="s">
        <v>26</v>
      </c>
      <c r="O447" s="1" t="s">
        <v>26</v>
      </c>
      <c r="P447" s="1" t="s">
        <v>27</v>
      </c>
      <c r="Q447" s="1" t="s">
        <v>27</v>
      </c>
    </row>
    <row r="448" spans="1:17" ht="16.5" customHeight="1" x14ac:dyDescent="0.25">
      <c r="A448" s="1" t="s">
        <v>58</v>
      </c>
      <c r="B448" s="1" t="s">
        <v>926</v>
      </c>
      <c r="C448" s="1" t="s">
        <v>927</v>
      </c>
      <c r="D448" s="44"/>
      <c r="E448" s="1" t="s">
        <v>23</v>
      </c>
      <c r="F448" s="1" t="s">
        <v>24</v>
      </c>
      <c r="G448" s="1" t="s">
        <v>24</v>
      </c>
      <c r="H448" s="26">
        <v>100</v>
      </c>
      <c r="I448" s="27" t="str">
        <f>HYPERLINK("https://doc.morningstar.com/Document/c809ea31af9cfc4761a6671bb44a1020.msdoc?clientid=fnz&amp;key=9c0e4d166b60ffd3","TMD")</f>
        <v>TMD</v>
      </c>
      <c r="J448" t="s">
        <v>25</v>
      </c>
      <c r="K448" s="1" t="s">
        <v>25</v>
      </c>
      <c r="L448" s="1" t="s">
        <v>25</v>
      </c>
      <c r="M448" s="1" t="s">
        <v>25</v>
      </c>
      <c r="N448" s="1" t="s">
        <v>26</v>
      </c>
      <c r="O448" s="1" t="s">
        <v>26</v>
      </c>
      <c r="P448" s="1" t="s">
        <v>27</v>
      </c>
      <c r="Q448" s="1" t="s">
        <v>27</v>
      </c>
    </row>
    <row r="449" spans="1:17" ht="16.5" customHeight="1" x14ac:dyDescent="0.25">
      <c r="A449" s="1" t="s">
        <v>28</v>
      </c>
      <c r="B449" s="1" t="s">
        <v>928</v>
      </c>
      <c r="C449" s="1" t="s">
        <v>929</v>
      </c>
      <c r="D449" s="44"/>
      <c r="E449" s="1" t="s">
        <v>23</v>
      </c>
      <c r="F449" s="1" t="s">
        <v>24</v>
      </c>
      <c r="G449" s="1" t="s">
        <v>24</v>
      </c>
      <c r="H449" s="26">
        <v>30</v>
      </c>
      <c r="I449" s="27" t="str">
        <f>HYPERLINK("https://doc.morningstar.com/Document/c809ea31af9cfc47ac42dafa2c01a50b.msdoc?clientid=fnz&amp;key=9c0e4d166b60ffd3","TMD")</f>
        <v>TMD</v>
      </c>
      <c r="J449" t="s">
        <v>25</v>
      </c>
      <c r="K449" s="1" t="s">
        <v>25</v>
      </c>
      <c r="L449" s="1" t="s">
        <v>25</v>
      </c>
      <c r="M449" s="1" t="s">
        <v>25</v>
      </c>
      <c r="N449" s="1" t="s">
        <v>26</v>
      </c>
      <c r="O449" s="1" t="s">
        <v>26</v>
      </c>
      <c r="P449" s="1" t="s">
        <v>27</v>
      </c>
      <c r="Q449" s="1" t="s">
        <v>27</v>
      </c>
    </row>
    <row r="450" spans="1:17" ht="16.5" customHeight="1" x14ac:dyDescent="0.25">
      <c r="A450" s="1" t="s">
        <v>58</v>
      </c>
      <c r="B450" s="1" t="s">
        <v>930</v>
      </c>
      <c r="C450" s="1" t="s">
        <v>931</v>
      </c>
      <c r="D450" s="44"/>
      <c r="E450" s="1" t="s">
        <v>23</v>
      </c>
      <c r="F450" s="1" t="s">
        <v>24</v>
      </c>
      <c r="G450" s="1" t="s">
        <v>24</v>
      </c>
      <c r="H450" s="26">
        <v>100</v>
      </c>
      <c r="I450" s="27" t="str">
        <f>HYPERLINK("https://doc.morningstar.com/Document/1caf5501aafb72ad8048ca16a930cfd9.msdoc?clientid=fnz&amp;key=9c0e4d166b60ffd3","TMD")</f>
        <v>TMD</v>
      </c>
      <c r="J450" t="s">
        <v>25</v>
      </c>
      <c r="K450" s="1" t="s">
        <v>25</v>
      </c>
      <c r="L450" s="1" t="s">
        <v>25</v>
      </c>
      <c r="M450" s="1" t="s">
        <v>25</v>
      </c>
      <c r="N450" s="1" t="s">
        <v>26</v>
      </c>
      <c r="O450" s="1" t="s">
        <v>26</v>
      </c>
      <c r="P450" s="1" t="s">
        <v>27</v>
      </c>
      <c r="Q450" s="1" t="s">
        <v>27</v>
      </c>
    </row>
    <row r="451" spans="1:17" ht="16.5" customHeight="1" x14ac:dyDescent="0.25">
      <c r="A451" s="1" t="s">
        <v>58</v>
      </c>
      <c r="B451" s="1" t="s">
        <v>932</v>
      </c>
      <c r="C451" s="1" t="s">
        <v>933</v>
      </c>
      <c r="D451" s="44"/>
      <c r="E451" s="1" t="s">
        <v>61</v>
      </c>
      <c r="F451" s="1" t="s">
        <v>24</v>
      </c>
      <c r="G451" s="1" t="s">
        <v>24</v>
      </c>
      <c r="H451" s="26">
        <v>100</v>
      </c>
      <c r="I451" s="27" t="str">
        <f>HYPERLINK("https://doc.morningstar.com/Document/e9388740a055541194b487639a929dc1.msdoc?clientid=fnz&amp;key=9c0e4d166b60ffd3","TMD")</f>
        <v>TMD</v>
      </c>
      <c r="J451" t="s">
        <v>25</v>
      </c>
      <c r="K451" s="1" t="s">
        <v>25</v>
      </c>
      <c r="L451" s="1" t="s">
        <v>25</v>
      </c>
      <c r="M451" s="1" t="s">
        <v>25</v>
      </c>
      <c r="N451" s="1" t="s">
        <v>26</v>
      </c>
      <c r="O451" s="1" t="s">
        <v>26</v>
      </c>
      <c r="P451" s="1" t="s">
        <v>27</v>
      </c>
      <c r="Q451" s="1" t="s">
        <v>27</v>
      </c>
    </row>
    <row r="452" spans="1:17" ht="16.5" customHeight="1" x14ac:dyDescent="0.25">
      <c r="A452" s="1" t="s">
        <v>31</v>
      </c>
      <c r="B452" s="1" t="s">
        <v>934</v>
      </c>
      <c r="C452" s="1" t="s">
        <v>935</v>
      </c>
      <c r="D452" s="44"/>
      <c r="E452" s="1" t="s">
        <v>40</v>
      </c>
      <c r="F452" s="1" t="s">
        <v>24</v>
      </c>
      <c r="G452" s="1" t="s">
        <v>24</v>
      </c>
      <c r="H452" s="26">
        <v>100</v>
      </c>
      <c r="I452" s="27" t="str">
        <f>HYPERLINK("https://doc.morningstar.com/Document/32b777420e46426a3785b9df7fcae2d8.msdoc?clientid=fnz&amp;key=9c0e4d166b60ffd3","TMD")</f>
        <v>TMD</v>
      </c>
      <c r="J452" t="s">
        <v>25</v>
      </c>
      <c r="K452" s="1" t="s">
        <v>25</v>
      </c>
      <c r="L452" s="1" t="s">
        <v>25</v>
      </c>
      <c r="M452" s="1" t="s">
        <v>25</v>
      </c>
      <c r="N452" s="1" t="s">
        <v>26</v>
      </c>
      <c r="O452" s="1" t="s">
        <v>26</v>
      </c>
      <c r="P452" s="1" t="s">
        <v>27</v>
      </c>
      <c r="Q452" s="1" t="s">
        <v>27</v>
      </c>
    </row>
    <row r="453" spans="1:17" ht="16.5" customHeight="1" x14ac:dyDescent="0.25">
      <c r="A453" s="1" t="s">
        <v>34</v>
      </c>
      <c r="B453" s="1" t="s">
        <v>936</v>
      </c>
      <c r="C453" s="1" t="s">
        <v>937</v>
      </c>
      <c r="D453" s="44"/>
      <c r="E453" s="1" t="s">
        <v>23</v>
      </c>
      <c r="F453" s="1" t="s">
        <v>24</v>
      </c>
      <c r="G453" s="1" t="s">
        <v>24</v>
      </c>
      <c r="H453" s="26">
        <v>30</v>
      </c>
      <c r="I453" s="27" t="str">
        <f>HYPERLINK("https://doc.morningstar.com/Document/c87ec2d39d4584deb8c0e62363b25b79.msdoc?clientid=fnz&amp;key=9c0e4d166b60ffd3","TMD")</f>
        <v>TMD</v>
      </c>
      <c r="J453" t="s">
        <v>25</v>
      </c>
      <c r="K453" s="1" t="s">
        <v>25</v>
      </c>
      <c r="L453" s="1" t="s">
        <v>25</v>
      </c>
      <c r="M453" s="1" t="s">
        <v>25</v>
      </c>
      <c r="N453" s="1" t="s">
        <v>26</v>
      </c>
      <c r="O453" s="1" t="s">
        <v>26</v>
      </c>
      <c r="P453" s="1" t="s">
        <v>27</v>
      </c>
      <c r="Q453" s="1" t="s">
        <v>27</v>
      </c>
    </row>
    <row r="454" spans="1:17" ht="16.5" customHeight="1" x14ac:dyDescent="0.25">
      <c r="A454" s="1" t="s">
        <v>318</v>
      </c>
      <c r="B454" s="1" t="s">
        <v>938</v>
      </c>
      <c r="C454" s="1" t="s">
        <v>939</v>
      </c>
      <c r="D454" s="44"/>
      <c r="E454" s="1" t="s">
        <v>40</v>
      </c>
      <c r="F454" s="1" t="s">
        <v>24</v>
      </c>
      <c r="G454" s="1" t="s">
        <v>24</v>
      </c>
      <c r="H454" s="26">
        <v>100</v>
      </c>
      <c r="I454" s="27" t="str">
        <f>HYPERLINK("https://doc.morningstar.com/Document/c4eec702cc1f91875ec65a27d3fee89c.msdoc?clientid=fnz&amp;key=9c0e4d166b60ffd3","TMD")</f>
        <v>TMD</v>
      </c>
      <c r="J454" t="s">
        <v>25</v>
      </c>
      <c r="K454" s="1" t="s">
        <v>25</v>
      </c>
      <c r="L454" s="1" t="s">
        <v>25</v>
      </c>
      <c r="M454" s="1" t="s">
        <v>25</v>
      </c>
      <c r="N454" s="1" t="s">
        <v>27</v>
      </c>
      <c r="O454" s="1" t="s">
        <v>26</v>
      </c>
      <c r="P454" s="1" t="s">
        <v>26</v>
      </c>
      <c r="Q454" s="1" t="s">
        <v>26</v>
      </c>
    </row>
    <row r="455" spans="1:17" ht="16.5" customHeight="1" x14ac:dyDescent="0.25">
      <c r="A455" s="1" t="s">
        <v>65</v>
      </c>
      <c r="B455" s="1" t="s">
        <v>940</v>
      </c>
      <c r="C455" s="1" t="s">
        <v>941</v>
      </c>
      <c r="D455" s="44"/>
      <c r="E455" s="1" t="s">
        <v>23</v>
      </c>
      <c r="F455" s="1" t="s">
        <v>24</v>
      </c>
      <c r="G455" s="1" t="s">
        <v>24</v>
      </c>
      <c r="H455" s="26">
        <v>100</v>
      </c>
      <c r="I455" s="27" t="str">
        <f>HYPERLINK("https://doc.morningstar.com/Document/af3adb065160cef7a4b090681b262429.msdoc?clientid=fnz&amp;key=9c0e4d166b60ffd3","TMD")</f>
        <v>TMD</v>
      </c>
      <c r="J455" t="s">
        <v>25</v>
      </c>
      <c r="K455" s="1" t="s">
        <v>25</v>
      </c>
      <c r="L455" s="1" t="s">
        <v>25</v>
      </c>
      <c r="M455" s="1" t="s">
        <v>25</v>
      </c>
      <c r="N455" s="1" t="s">
        <v>26</v>
      </c>
      <c r="O455" s="1" t="s">
        <v>27</v>
      </c>
      <c r="P455" s="1" t="s">
        <v>26</v>
      </c>
      <c r="Q455" s="1" t="s">
        <v>26</v>
      </c>
    </row>
    <row r="456" spans="1:17" ht="16.5" customHeight="1" x14ac:dyDescent="0.25">
      <c r="A456" s="1" t="s">
        <v>71</v>
      </c>
      <c r="B456" s="1" t="s">
        <v>942</v>
      </c>
      <c r="C456" s="1" t="s">
        <v>943</v>
      </c>
      <c r="D456" s="44"/>
      <c r="E456" s="1" t="s">
        <v>23</v>
      </c>
      <c r="F456" s="1" t="s">
        <v>24</v>
      </c>
      <c r="G456" s="1" t="s">
        <v>24</v>
      </c>
      <c r="H456" s="26">
        <v>100</v>
      </c>
      <c r="I456" s="27" t="str">
        <f>HYPERLINK("https://doc.morningstar.com/Document/240ac911f32e872da3d75f8d90fee243.msdoc?clientid=fnz&amp;key=9c0e4d166b60ffd3","TMD")</f>
        <v>TMD</v>
      </c>
      <c r="J456" t="s">
        <v>25</v>
      </c>
      <c r="K456" s="1" t="s">
        <v>25</v>
      </c>
      <c r="L456" s="1" t="s">
        <v>25</v>
      </c>
      <c r="M456" s="1" t="s">
        <v>25</v>
      </c>
      <c r="N456" s="1" t="s">
        <v>26</v>
      </c>
      <c r="O456" s="1" t="s">
        <v>26</v>
      </c>
      <c r="P456" s="1" t="s">
        <v>27</v>
      </c>
      <c r="Q456" s="1" t="s">
        <v>27</v>
      </c>
    </row>
    <row r="457" spans="1:17" ht="16.5" customHeight="1" x14ac:dyDescent="0.25">
      <c r="A457" s="1" t="s">
        <v>109</v>
      </c>
      <c r="B457" s="1" t="s">
        <v>944</v>
      </c>
      <c r="C457" s="1" t="s">
        <v>945</v>
      </c>
      <c r="D457" s="44"/>
      <c r="E457" s="1" t="s">
        <v>23</v>
      </c>
      <c r="F457" s="1" t="s">
        <v>24</v>
      </c>
      <c r="G457" s="1" t="s">
        <v>24</v>
      </c>
      <c r="H457" s="26">
        <v>100</v>
      </c>
      <c r="I457" s="27" t="str">
        <f>HYPERLINK("https://doc.morningstar.com/Document/4743ead5e7bea41cc745ac127493557a.msdoc?clientid=fnz&amp;key=9c0e4d166b60ffd3","TMD")</f>
        <v>TMD</v>
      </c>
      <c r="J457" t="s">
        <v>25</v>
      </c>
      <c r="K457" s="1" t="s">
        <v>25</v>
      </c>
      <c r="L457" s="1" t="s">
        <v>25</v>
      </c>
      <c r="M457" s="1" t="s">
        <v>25</v>
      </c>
      <c r="N457" s="1" t="s">
        <v>26</v>
      </c>
      <c r="O457" s="1" t="s">
        <v>27</v>
      </c>
      <c r="P457" s="1" t="s">
        <v>27</v>
      </c>
      <c r="Q457" s="1" t="s">
        <v>27</v>
      </c>
    </row>
    <row r="458" spans="1:17" ht="16.5" customHeight="1" x14ac:dyDescent="0.25">
      <c r="A458" s="1" t="s">
        <v>76</v>
      </c>
      <c r="B458" s="1" t="s">
        <v>946</v>
      </c>
      <c r="C458" s="1" t="s">
        <v>947</v>
      </c>
      <c r="D458" s="44"/>
      <c r="E458" s="1" t="s">
        <v>23</v>
      </c>
      <c r="F458" s="1" t="s">
        <v>24</v>
      </c>
      <c r="G458" s="1" t="s">
        <v>24</v>
      </c>
      <c r="H458" s="26">
        <v>100</v>
      </c>
      <c r="I458" s="27" t="str">
        <f>HYPERLINK("https://doc.morningstar.com/Document/543b6a504755c61d32313e38b86ed7e8.msdoc?clientid=fnz&amp;key=9c0e4d166b60ffd3","TMD")</f>
        <v>TMD</v>
      </c>
      <c r="J458" t="s">
        <v>25</v>
      </c>
      <c r="K458" s="1" t="s">
        <v>25</v>
      </c>
      <c r="L458" s="1" t="s">
        <v>25</v>
      </c>
      <c r="M458" s="1" t="s">
        <v>25</v>
      </c>
      <c r="N458" s="1" t="s">
        <v>26</v>
      </c>
      <c r="O458" s="1" t="s">
        <v>27</v>
      </c>
      <c r="P458" s="1" t="s">
        <v>27</v>
      </c>
      <c r="Q458" s="1" t="s">
        <v>27</v>
      </c>
    </row>
    <row r="459" spans="1:17" ht="16.5" customHeight="1" x14ac:dyDescent="0.25">
      <c r="A459" s="1" t="s">
        <v>58</v>
      </c>
      <c r="B459" s="1" t="s">
        <v>948</v>
      </c>
      <c r="C459" s="1" t="s">
        <v>949</v>
      </c>
      <c r="D459" s="44"/>
      <c r="E459" s="1" t="s">
        <v>23</v>
      </c>
      <c r="F459" s="1" t="s">
        <v>24</v>
      </c>
      <c r="G459" s="1" t="s">
        <v>24</v>
      </c>
      <c r="H459" s="26">
        <v>100</v>
      </c>
      <c r="I459" s="27" t="str">
        <f>HYPERLINK("https://doc.morningstar.com/Document/e9355b1c3e0dcad2d678abed26a4d609.msdoc?clientid=fnz&amp;key=9c0e4d166b60ffd3","TMD")</f>
        <v>TMD</v>
      </c>
      <c r="J459" t="s">
        <v>25</v>
      </c>
      <c r="K459" s="1" t="s">
        <v>25</v>
      </c>
      <c r="L459" s="1" t="s">
        <v>25</v>
      </c>
      <c r="M459" s="1" t="s">
        <v>25</v>
      </c>
      <c r="N459" s="1" t="s">
        <v>26</v>
      </c>
      <c r="O459" s="1" t="s">
        <v>26</v>
      </c>
      <c r="P459" s="1" t="s">
        <v>27</v>
      </c>
      <c r="Q459" s="1" t="s">
        <v>27</v>
      </c>
    </row>
    <row r="460" spans="1:17" ht="16.5" customHeight="1" x14ac:dyDescent="0.25">
      <c r="A460" s="1" t="s">
        <v>58</v>
      </c>
      <c r="B460" s="1" t="s">
        <v>950</v>
      </c>
      <c r="C460" s="1" t="s">
        <v>951</v>
      </c>
      <c r="D460" s="44"/>
      <c r="E460" s="1" t="s">
        <v>23</v>
      </c>
      <c r="F460" s="1" t="s">
        <v>24</v>
      </c>
      <c r="G460" s="1" t="s">
        <v>24</v>
      </c>
      <c r="H460" s="26">
        <v>100</v>
      </c>
      <c r="I460" s="27" t="str">
        <f>HYPERLINK("https://doc.morningstar.com/Document/e9355b1c3e0dcad2f8d374169653a3e0.msdoc?clientid=fnz&amp;key=9c0e4d166b60ffd3","TMD")</f>
        <v>TMD</v>
      </c>
      <c r="J460" t="s">
        <v>25</v>
      </c>
      <c r="K460" s="1" t="s">
        <v>25</v>
      </c>
      <c r="L460" s="1" t="s">
        <v>25</v>
      </c>
      <c r="M460" s="1" t="s">
        <v>25</v>
      </c>
      <c r="N460" s="1" t="s">
        <v>26</v>
      </c>
      <c r="O460" s="1" t="s">
        <v>26</v>
      </c>
      <c r="P460" s="1" t="s">
        <v>27</v>
      </c>
      <c r="Q460" s="1" t="s">
        <v>27</v>
      </c>
    </row>
    <row r="461" spans="1:17" ht="16.5" customHeight="1" x14ac:dyDescent="0.25">
      <c r="A461" s="1" t="s">
        <v>28</v>
      </c>
      <c r="B461" s="1" t="s">
        <v>952</v>
      </c>
      <c r="C461" s="1" t="s">
        <v>953</v>
      </c>
      <c r="D461" s="44"/>
      <c r="E461" s="1" t="s">
        <v>23</v>
      </c>
      <c r="F461" s="1" t="s">
        <v>24</v>
      </c>
      <c r="G461" s="1" t="s">
        <v>24</v>
      </c>
      <c r="H461" s="26">
        <v>30</v>
      </c>
      <c r="I461" s="27" t="str">
        <f>HYPERLINK("https://doc.morningstar.com/Document/e9355b1c3e0dcad2c83d2d0210dea494.msdoc?clientid=fnz&amp;key=9c0e4d166b60ffd3","TMD")</f>
        <v>TMD</v>
      </c>
      <c r="J461" t="s">
        <v>25</v>
      </c>
      <c r="K461" s="1" t="s">
        <v>25</v>
      </c>
      <c r="L461" s="1" t="s">
        <v>25</v>
      </c>
      <c r="M461" s="1" t="s">
        <v>25</v>
      </c>
      <c r="N461" s="1" t="s">
        <v>26</v>
      </c>
      <c r="O461" s="1" t="s">
        <v>26</v>
      </c>
      <c r="P461" s="1" t="s">
        <v>27</v>
      </c>
      <c r="Q461" s="1" t="s">
        <v>27</v>
      </c>
    </row>
    <row r="462" spans="1:17" ht="16.5" customHeight="1" x14ac:dyDescent="0.25">
      <c r="A462" s="1" t="s">
        <v>31</v>
      </c>
      <c r="B462" s="1" t="s">
        <v>954</v>
      </c>
      <c r="C462" s="1" t="s">
        <v>955</v>
      </c>
      <c r="D462" s="44"/>
      <c r="E462" s="1" t="s">
        <v>40</v>
      </c>
      <c r="F462" s="1" t="s">
        <v>24</v>
      </c>
      <c r="G462" s="1" t="s">
        <v>24</v>
      </c>
      <c r="H462" s="26">
        <v>100</v>
      </c>
      <c r="I462" s="27" t="str">
        <f>HYPERLINK("https://doc.morningstar.com/Document/299de93594ccde1b81fb567b8b80ebfd.msdoc?clientid=fnz&amp;key=9c0e4d166b60ffd3","TMD")</f>
        <v>TMD</v>
      </c>
      <c r="J462" t="s">
        <v>25</v>
      </c>
      <c r="K462" s="1" t="s">
        <v>25</v>
      </c>
      <c r="L462" s="1" t="s">
        <v>25</v>
      </c>
      <c r="M462" s="1" t="s">
        <v>25</v>
      </c>
      <c r="N462" s="1" t="s">
        <v>26</v>
      </c>
      <c r="O462" s="1" t="s">
        <v>26</v>
      </c>
      <c r="P462" s="1" t="s">
        <v>27</v>
      </c>
      <c r="Q462" s="1" t="s">
        <v>27</v>
      </c>
    </row>
    <row r="463" spans="1:17" ht="16.5" customHeight="1" x14ac:dyDescent="0.25">
      <c r="A463" s="1" t="s">
        <v>37</v>
      </c>
      <c r="B463" s="1" t="s">
        <v>956</v>
      </c>
      <c r="C463" s="1" t="s">
        <v>957</v>
      </c>
      <c r="D463" s="44"/>
      <c r="E463" s="1" t="s">
        <v>23</v>
      </c>
      <c r="F463" s="1" t="s">
        <v>24</v>
      </c>
      <c r="G463" s="1" t="s">
        <v>24</v>
      </c>
      <c r="H463" s="26">
        <v>50</v>
      </c>
      <c r="I463" s="27" t="str">
        <f>HYPERLINK("https://doc.morningstar.com/Document/0b85f1550fd4685de34866d7530a9a37.msdoc?clientid=fnz&amp;key=9c0e4d166b60ffd3","TMD")</f>
        <v>TMD</v>
      </c>
      <c r="J463" t="s">
        <v>25</v>
      </c>
      <c r="K463" s="1" t="s">
        <v>25</v>
      </c>
      <c r="L463" s="1" t="s">
        <v>25</v>
      </c>
      <c r="M463" s="1" t="s">
        <v>25</v>
      </c>
      <c r="N463" s="1" t="s">
        <v>26</v>
      </c>
      <c r="O463" s="1" t="s">
        <v>26</v>
      </c>
      <c r="P463" s="1" t="s">
        <v>26</v>
      </c>
      <c r="Q463" s="1" t="s">
        <v>27</v>
      </c>
    </row>
    <row r="464" spans="1:17" ht="16.5" customHeight="1" x14ac:dyDescent="0.25">
      <c r="A464" s="1" t="s">
        <v>52</v>
      </c>
      <c r="B464" s="1" t="s">
        <v>958</v>
      </c>
      <c r="C464" s="1" t="s">
        <v>959</v>
      </c>
      <c r="D464" s="44"/>
      <c r="E464" s="1" t="s">
        <v>23</v>
      </c>
      <c r="F464" s="1" t="s">
        <v>24</v>
      </c>
      <c r="G464" s="1" t="s">
        <v>24</v>
      </c>
      <c r="H464" s="26">
        <v>100</v>
      </c>
      <c r="I464" s="27" t="str">
        <f>HYPERLINK("https://doc.morningstar.com/Document/60093f77c5ea641fab000325115ed6f3.msdoc?clientid=fnz&amp;key=9c0e4d166b60ffd3","TMD")</f>
        <v>TMD</v>
      </c>
      <c r="J464" t="s">
        <v>25</v>
      </c>
      <c r="K464" s="1" t="s">
        <v>25</v>
      </c>
      <c r="L464" s="1" t="s">
        <v>25</v>
      </c>
      <c r="M464" s="1" t="s">
        <v>25</v>
      </c>
      <c r="N464" s="1" t="s">
        <v>26</v>
      </c>
      <c r="O464" s="1" t="s">
        <v>27</v>
      </c>
      <c r="P464" s="1" t="s">
        <v>27</v>
      </c>
      <c r="Q464" s="1" t="s">
        <v>27</v>
      </c>
    </row>
    <row r="465" spans="1:17" ht="16.5" customHeight="1" x14ac:dyDescent="0.25">
      <c r="A465" s="1" t="s">
        <v>81</v>
      </c>
      <c r="B465" s="1" t="s">
        <v>960</v>
      </c>
      <c r="C465" s="1" t="s">
        <v>961</v>
      </c>
      <c r="D465" s="44"/>
      <c r="E465" s="1" t="s">
        <v>23</v>
      </c>
      <c r="F465" s="1" t="s">
        <v>24</v>
      </c>
      <c r="G465" s="1" t="s">
        <v>24</v>
      </c>
      <c r="H465" s="26">
        <v>50</v>
      </c>
      <c r="I465" s="27" t="str">
        <f>HYPERLINK("https://doc.morningstar.com/Document/4743ead5e7bea41cf21ee7ac4a30f745.msdoc?clientid=fnz&amp;key=9c0e4d166b60ffd3","TMD")</f>
        <v>TMD</v>
      </c>
      <c r="J465" t="s">
        <v>25</v>
      </c>
      <c r="K465" s="1" t="s">
        <v>25</v>
      </c>
      <c r="L465" s="1" t="s">
        <v>25</v>
      </c>
      <c r="M465" s="1" t="s">
        <v>25</v>
      </c>
      <c r="N465" s="1" t="s">
        <v>26</v>
      </c>
      <c r="O465" s="1" t="s">
        <v>26</v>
      </c>
      <c r="P465" s="1" t="s">
        <v>27</v>
      </c>
      <c r="Q465" s="1" t="s">
        <v>27</v>
      </c>
    </row>
    <row r="466" spans="1:17" ht="16.5" customHeight="1" x14ac:dyDescent="0.25">
      <c r="A466" s="1" t="s">
        <v>184</v>
      </c>
      <c r="B466" s="1" t="s">
        <v>962</v>
      </c>
      <c r="C466" s="1" t="s">
        <v>963</v>
      </c>
      <c r="D466" s="44"/>
      <c r="E466" s="1" t="s">
        <v>23</v>
      </c>
      <c r="F466" s="1" t="s">
        <v>24</v>
      </c>
      <c r="G466" s="1" t="s">
        <v>24</v>
      </c>
      <c r="H466" s="26">
        <v>100</v>
      </c>
      <c r="I466" s="27" t="str">
        <f>HYPERLINK("https://doc.morningstar.com/Document/f79b95981a5597666835a78ba0dc5d6d.msdoc?clientid=fnz&amp;key=9c0e4d166b60ffd3","TMD")</f>
        <v>TMD</v>
      </c>
      <c r="J466" t="s">
        <v>25</v>
      </c>
      <c r="K466" s="1" t="s">
        <v>25</v>
      </c>
      <c r="L466" s="1" t="s">
        <v>25</v>
      </c>
      <c r="M466" s="1" t="s">
        <v>25</v>
      </c>
      <c r="N466" s="1" t="s">
        <v>26</v>
      </c>
      <c r="O466" s="1" t="s">
        <v>27</v>
      </c>
      <c r="P466" s="1" t="s">
        <v>27</v>
      </c>
      <c r="Q466" s="1" t="s">
        <v>27</v>
      </c>
    </row>
    <row r="467" spans="1:17" ht="16.5" customHeight="1" x14ac:dyDescent="0.25">
      <c r="A467" s="1" t="s">
        <v>184</v>
      </c>
      <c r="B467" s="1" t="s">
        <v>964</v>
      </c>
      <c r="C467" s="1" t="s">
        <v>965</v>
      </c>
      <c r="D467" s="44"/>
      <c r="E467" s="1" t="s">
        <v>23</v>
      </c>
      <c r="F467" s="1" t="s">
        <v>24</v>
      </c>
      <c r="G467" s="1" t="s">
        <v>24</v>
      </c>
      <c r="H467" s="26">
        <v>100</v>
      </c>
      <c r="I467" s="27" t="str">
        <f>HYPERLINK("https://doc.morningstar.com/Document/4743ead5e7bea41c6aa296237ea1344c.msdoc?clientid=fnz&amp;key=9c0e4d166b60ffd3","TMD")</f>
        <v>TMD</v>
      </c>
      <c r="J467" t="s">
        <v>25</v>
      </c>
      <c r="K467" s="1" t="s">
        <v>25</v>
      </c>
      <c r="L467" s="1" t="s">
        <v>25</v>
      </c>
      <c r="M467" s="1" t="s">
        <v>25</v>
      </c>
      <c r="N467" s="1" t="s">
        <v>26</v>
      </c>
      <c r="O467" s="1" t="s">
        <v>27</v>
      </c>
      <c r="P467" s="1" t="s">
        <v>27</v>
      </c>
      <c r="Q467" s="1" t="s">
        <v>26</v>
      </c>
    </row>
    <row r="468" spans="1:17" ht="16.5" customHeight="1" x14ac:dyDescent="0.25">
      <c r="A468" s="1" t="s">
        <v>52</v>
      </c>
      <c r="B468" s="1" t="s">
        <v>966</v>
      </c>
      <c r="C468" s="1" t="s">
        <v>967</v>
      </c>
      <c r="D468" s="44"/>
      <c r="E468" s="1" t="s">
        <v>23</v>
      </c>
      <c r="F468" s="1" t="s">
        <v>24</v>
      </c>
      <c r="G468" s="1" t="s">
        <v>24</v>
      </c>
      <c r="H468" s="26">
        <v>100</v>
      </c>
      <c r="I468" s="27" t="str">
        <f>HYPERLINK("https://doc.morningstar.com/Document/240ac911f32e872dbf4a4ae8876395ad.msdoc?clientid=fnz&amp;key=9c0e4d166b60ffd3","TMD")</f>
        <v>TMD</v>
      </c>
      <c r="J468" t="s">
        <v>25</v>
      </c>
      <c r="K468" s="1" t="s">
        <v>25</v>
      </c>
      <c r="L468" s="1" t="s">
        <v>25</v>
      </c>
      <c r="M468" s="1" t="s">
        <v>25</v>
      </c>
      <c r="N468" s="1" t="s">
        <v>26</v>
      </c>
      <c r="O468" s="1" t="s">
        <v>27</v>
      </c>
      <c r="P468" s="1" t="s">
        <v>27</v>
      </c>
      <c r="Q468" s="1" t="s">
        <v>27</v>
      </c>
    </row>
    <row r="469" spans="1:17" ht="16.5" customHeight="1" x14ac:dyDescent="0.25">
      <c r="A469" s="1" t="s">
        <v>37</v>
      </c>
      <c r="B469" s="1" t="s">
        <v>968</v>
      </c>
      <c r="C469" s="1" t="s">
        <v>969</v>
      </c>
      <c r="D469" s="44"/>
      <c r="E469" s="1" t="s">
        <v>23</v>
      </c>
      <c r="F469" s="1" t="s">
        <v>24</v>
      </c>
      <c r="G469" s="1" t="s">
        <v>24</v>
      </c>
      <c r="H469" s="26">
        <v>50</v>
      </c>
      <c r="I469" s="27" t="str">
        <f>HYPERLINK("https://doc.morningstar.com/Document/2c3b8a0a9ec874a8af1d07bf4c06fcd8.msdoc?clientid=fnz&amp;key=9c0e4d166b60ffd3","TMD")</f>
        <v>TMD</v>
      </c>
      <c r="J469" t="s">
        <v>25</v>
      </c>
      <c r="K469" s="1" t="s">
        <v>25</v>
      </c>
      <c r="L469" s="1" t="s">
        <v>25</v>
      </c>
      <c r="M469" s="1" t="s">
        <v>25</v>
      </c>
      <c r="N469" s="1" t="s">
        <v>25</v>
      </c>
      <c r="O469" s="1" t="s">
        <v>25</v>
      </c>
      <c r="P469" s="1" t="s">
        <v>25</v>
      </c>
      <c r="Q469" s="1" t="s">
        <v>25</v>
      </c>
    </row>
    <row r="470" spans="1:17" ht="16.5" customHeight="1" x14ac:dyDescent="0.25">
      <c r="A470" s="1" t="s">
        <v>225</v>
      </c>
      <c r="B470" s="1" t="s">
        <v>970</v>
      </c>
      <c r="C470" s="1" t="s">
        <v>971</v>
      </c>
      <c r="D470" s="44"/>
      <c r="E470" s="1" t="s">
        <v>23</v>
      </c>
      <c r="F470" s="1" t="s">
        <v>24</v>
      </c>
      <c r="G470" s="1" t="s">
        <v>24</v>
      </c>
      <c r="H470" s="26">
        <v>30</v>
      </c>
      <c r="I470" s="27" t="str">
        <f>HYPERLINK("https://doc.morningstar.com/Document/60093f77c5ea641f06259e5ceb626f75.msdoc?clientid=fnz&amp;key=9c0e4d166b60ffd3","TMD")</f>
        <v>TMD</v>
      </c>
      <c r="J470" t="s">
        <v>25</v>
      </c>
      <c r="K470" s="1" t="s">
        <v>25</v>
      </c>
      <c r="L470" s="1" t="s">
        <v>25</v>
      </c>
      <c r="M470" s="1" t="s">
        <v>25</v>
      </c>
      <c r="N470" s="1" t="s">
        <v>26</v>
      </c>
      <c r="O470" s="1" t="s">
        <v>26</v>
      </c>
      <c r="P470" s="1" t="s">
        <v>26</v>
      </c>
      <c r="Q470" s="1" t="s">
        <v>27</v>
      </c>
    </row>
    <row r="471" spans="1:17" ht="16.5" customHeight="1" x14ac:dyDescent="0.25">
      <c r="A471" s="1" t="s">
        <v>31</v>
      </c>
      <c r="B471" s="1" t="s">
        <v>972</v>
      </c>
      <c r="C471" s="1" t="s">
        <v>973</v>
      </c>
      <c r="D471" s="44"/>
      <c r="E471" s="1" t="s">
        <v>23</v>
      </c>
      <c r="F471" s="1" t="s">
        <v>24</v>
      </c>
      <c r="G471" s="1" t="s">
        <v>24</v>
      </c>
      <c r="H471" s="26">
        <v>100</v>
      </c>
      <c r="I471" s="27" t="str">
        <f>HYPERLINK("https://doc.morningstar.com/Document/61f447bd4f1652c1a628d9a8c274f078.msdoc?clientid=fnz&amp;key=9c0e4d166b60ffd3","TMD")</f>
        <v>TMD</v>
      </c>
      <c r="J471" t="s">
        <v>25</v>
      </c>
      <c r="K471" s="1" t="s">
        <v>25</v>
      </c>
      <c r="L471" s="1" t="s">
        <v>25</v>
      </c>
      <c r="M471" s="1" t="s">
        <v>25</v>
      </c>
      <c r="N471" s="1" t="s">
        <v>26</v>
      </c>
      <c r="O471" s="1" t="s">
        <v>26</v>
      </c>
      <c r="P471" s="1" t="s">
        <v>27</v>
      </c>
      <c r="Q471" s="1" t="s">
        <v>27</v>
      </c>
    </row>
    <row r="472" spans="1:17" ht="16.5" customHeight="1" x14ac:dyDescent="0.3">
      <c r="A472" s="40" t="s">
        <v>318</v>
      </c>
      <c r="B472" s="1" t="s">
        <v>974</v>
      </c>
      <c r="C472" s="1" t="s">
        <v>975</v>
      </c>
      <c r="D472" s="44"/>
      <c r="E472" s="1" t="s">
        <v>40</v>
      </c>
      <c r="F472" s="1" t="s">
        <v>24</v>
      </c>
      <c r="G472" s="1" t="s">
        <v>24</v>
      </c>
      <c r="H472" s="26">
        <v>100</v>
      </c>
      <c r="I472" s="27" t="str">
        <f>HYPERLINK("https://doc.morningstar.com/Document/df87921a8fbb3635f1067812c94709ab.msdoc?clientid=fnz&amp;key=9c0e4d166b60ffd3","TMD")</f>
        <v>TMD</v>
      </c>
      <c r="J472" t="s">
        <v>25</v>
      </c>
      <c r="K472" s="1" t="s">
        <v>25</v>
      </c>
      <c r="L472" s="1" t="s">
        <v>25</v>
      </c>
      <c r="M472" s="1" t="s">
        <v>25</v>
      </c>
      <c r="N472" s="1" t="s">
        <v>27</v>
      </c>
      <c r="O472" s="1" t="s">
        <v>26</v>
      </c>
      <c r="P472" s="1" t="s">
        <v>26</v>
      </c>
      <c r="Q472" s="1" t="s">
        <v>26</v>
      </c>
    </row>
    <row r="473" spans="1:17" ht="16.5" customHeight="1" x14ac:dyDescent="0.25">
      <c r="A473" s="1" t="s">
        <v>52</v>
      </c>
      <c r="B473" s="1" t="s">
        <v>976</v>
      </c>
      <c r="C473" s="1" t="s">
        <v>977</v>
      </c>
      <c r="D473" s="44"/>
      <c r="E473" s="1" t="s">
        <v>23</v>
      </c>
      <c r="F473" s="1" t="s">
        <v>24</v>
      </c>
      <c r="G473" s="1" t="s">
        <v>24</v>
      </c>
      <c r="H473" s="26">
        <v>100</v>
      </c>
      <c r="I473" s="27" t="str">
        <f>HYPERLINK("https://doc.morningstar.com/Document/1943b059a571b554c3bc872d522b4002.msdoc?clientid=fnz&amp;key=9c0e4d166b60ffd3","TMD")</f>
        <v>TMD</v>
      </c>
      <c r="J473" t="s">
        <v>25</v>
      </c>
      <c r="K473" s="1" t="s">
        <v>25</v>
      </c>
      <c r="L473" s="1" t="s">
        <v>25</v>
      </c>
      <c r="M473" s="1" t="s">
        <v>25</v>
      </c>
      <c r="N473" s="1" t="s">
        <v>26</v>
      </c>
      <c r="O473" s="1" t="s">
        <v>26</v>
      </c>
      <c r="P473" s="1" t="s">
        <v>26</v>
      </c>
      <c r="Q473" s="1" t="s">
        <v>27</v>
      </c>
    </row>
    <row r="474" spans="1:17" ht="16.5" customHeight="1" x14ac:dyDescent="0.25">
      <c r="A474" s="1" t="s">
        <v>31</v>
      </c>
      <c r="B474" s="1" t="s">
        <v>978</v>
      </c>
      <c r="C474" s="1" t="s">
        <v>979</v>
      </c>
      <c r="D474" s="44"/>
      <c r="E474" s="1" t="s">
        <v>40</v>
      </c>
      <c r="F474" s="1" t="s">
        <v>24</v>
      </c>
      <c r="G474" s="1" t="s">
        <v>24</v>
      </c>
      <c r="H474" s="26">
        <v>100</v>
      </c>
      <c r="I474" s="27" t="str">
        <f>HYPERLINK("https://doc.morningstar.com/Document/f79b95981a5597667999f48db06fd4ea.msdoc?clientid=fnz&amp;key=9c0e4d166b60ffd3","TMD")</f>
        <v>TMD</v>
      </c>
      <c r="J474" t="s">
        <v>25</v>
      </c>
      <c r="K474" s="1" t="s">
        <v>25</v>
      </c>
      <c r="L474" s="1" t="s">
        <v>25</v>
      </c>
      <c r="M474" s="1" t="s">
        <v>25</v>
      </c>
      <c r="N474" s="1" t="s">
        <v>26</v>
      </c>
      <c r="O474" s="1" t="s">
        <v>26</v>
      </c>
      <c r="P474" s="1" t="s">
        <v>27</v>
      </c>
      <c r="Q474" s="1" t="s">
        <v>27</v>
      </c>
    </row>
    <row r="475" spans="1:17" ht="16.5" customHeight="1" x14ac:dyDescent="0.25">
      <c r="A475" s="1" t="s">
        <v>109</v>
      </c>
      <c r="B475" s="1" t="s">
        <v>980</v>
      </c>
      <c r="C475" s="1" t="s">
        <v>981</v>
      </c>
      <c r="D475" s="44"/>
      <c r="E475" s="1" t="s">
        <v>40</v>
      </c>
      <c r="F475" s="1" t="s">
        <v>24</v>
      </c>
      <c r="G475" s="1" t="s">
        <v>24</v>
      </c>
      <c r="H475" s="26">
        <v>100</v>
      </c>
      <c r="I475" s="27" t="str">
        <f>HYPERLINK("https://doc.morningstar.com/Document/a971659530b2de439b20afc1e31be2b2.msdoc?clientid=fnz&amp;key=9c0e4d166b60ffd3","TMD")</f>
        <v>TMD</v>
      </c>
      <c r="J475" t="s">
        <v>25</v>
      </c>
      <c r="K475" s="1" t="s">
        <v>25</v>
      </c>
      <c r="L475" s="1" t="s">
        <v>25</v>
      </c>
      <c r="M475" s="1" t="s">
        <v>25</v>
      </c>
      <c r="N475" s="1" t="s">
        <v>26</v>
      </c>
      <c r="O475" s="1" t="s">
        <v>26</v>
      </c>
      <c r="P475" s="1" t="s">
        <v>27</v>
      </c>
      <c r="Q475" s="1" t="s">
        <v>26</v>
      </c>
    </row>
    <row r="476" spans="1:17" ht="16.5" customHeight="1" x14ac:dyDescent="0.25">
      <c r="A476" s="1" t="s">
        <v>31</v>
      </c>
      <c r="B476" s="1" t="s">
        <v>982</v>
      </c>
      <c r="C476" s="1" t="s">
        <v>983</v>
      </c>
      <c r="D476" s="44"/>
      <c r="E476" s="1" t="s">
        <v>40</v>
      </c>
      <c r="F476" s="1" t="s">
        <v>24</v>
      </c>
      <c r="G476" s="1" t="s">
        <v>24</v>
      </c>
      <c r="H476" s="26">
        <v>100</v>
      </c>
      <c r="I476" s="27" t="str">
        <f>HYPERLINK("https://doc.morningstar.com/Document/b3343ccfe5e0e8cb249a511af6890adc.msdoc?clientid=fnz&amp;key=9c0e4d166b60ffd3","TMD")</f>
        <v>TMD</v>
      </c>
      <c r="J476" t="s">
        <v>25</v>
      </c>
      <c r="K476" s="1" t="s">
        <v>25</v>
      </c>
      <c r="L476" s="1" t="s">
        <v>25</v>
      </c>
      <c r="M476" s="1" t="s">
        <v>25</v>
      </c>
      <c r="N476" s="1" t="s">
        <v>26</v>
      </c>
      <c r="O476" s="1" t="s">
        <v>26</v>
      </c>
      <c r="P476" s="1" t="s">
        <v>26</v>
      </c>
      <c r="Q476" s="1" t="s">
        <v>27</v>
      </c>
    </row>
    <row r="477" spans="1:17" ht="16.5" customHeight="1" x14ac:dyDescent="0.25">
      <c r="A477" s="1" t="s">
        <v>122</v>
      </c>
      <c r="B477" s="1" t="s">
        <v>984</v>
      </c>
      <c r="C477" s="1" t="s">
        <v>985</v>
      </c>
      <c r="D477" s="44"/>
      <c r="E477" s="1" t="s">
        <v>40</v>
      </c>
      <c r="F477" s="1" t="s">
        <v>24</v>
      </c>
      <c r="G477" s="1" t="s">
        <v>24</v>
      </c>
      <c r="H477" s="26">
        <v>100</v>
      </c>
      <c r="I477" s="27" t="str">
        <f>HYPERLINK("https://doc.morningstar.com/Document/b5b9631a396c4a96e80b20849ac0ca8b.msdoc?clientid=fnz&amp;key=9c0e4d166b60ffd3","TMD")</f>
        <v>TMD</v>
      </c>
      <c r="J477" t="s">
        <v>25</v>
      </c>
      <c r="K477" s="1" t="s">
        <v>25</v>
      </c>
      <c r="L477" s="1" t="s">
        <v>25</v>
      </c>
      <c r="M477" s="1" t="s">
        <v>25</v>
      </c>
      <c r="N477" s="1" t="s">
        <v>26</v>
      </c>
      <c r="O477" s="1" t="s">
        <v>26</v>
      </c>
      <c r="P477" s="1" t="s">
        <v>27</v>
      </c>
      <c r="Q477" s="1" t="s">
        <v>26</v>
      </c>
    </row>
    <row r="478" spans="1:17" ht="16.5" customHeight="1" x14ac:dyDescent="0.25">
      <c r="A478" s="1" t="s">
        <v>122</v>
      </c>
      <c r="B478" s="1" t="s">
        <v>986</v>
      </c>
      <c r="C478" s="1" t="s">
        <v>987</v>
      </c>
      <c r="D478" s="44"/>
      <c r="E478" s="1" t="s">
        <v>61</v>
      </c>
      <c r="F478" s="1" t="s">
        <v>24</v>
      </c>
      <c r="G478" s="1" t="s">
        <v>24</v>
      </c>
      <c r="H478" s="26">
        <v>100</v>
      </c>
      <c r="I478" s="27" t="str">
        <f>HYPERLINK("https://doc.morningstar.com/Document/b5b9631a396c4a9625a6cf8d8d5c32aa.msdoc?clientid=fnz&amp;key=9c0e4d166b60ffd3","TMD")</f>
        <v>TMD</v>
      </c>
      <c r="J478" t="s">
        <v>25</v>
      </c>
      <c r="K478" s="1" t="s">
        <v>25</v>
      </c>
      <c r="L478" s="1" t="s">
        <v>25</v>
      </c>
      <c r="M478" s="1" t="s">
        <v>25</v>
      </c>
      <c r="N478" s="1" t="s">
        <v>26</v>
      </c>
      <c r="O478" s="1" t="s">
        <v>26</v>
      </c>
      <c r="P478" s="1" t="s">
        <v>27</v>
      </c>
      <c r="Q478" s="1" t="s">
        <v>26</v>
      </c>
    </row>
    <row r="479" spans="1:17" ht="16.5" customHeight="1" x14ac:dyDescent="0.25">
      <c r="A479" s="1" t="s">
        <v>109</v>
      </c>
      <c r="B479" s="1" t="s">
        <v>988</v>
      </c>
      <c r="C479" s="1" t="s">
        <v>989</v>
      </c>
      <c r="D479" s="44"/>
      <c r="E479" s="1" t="s">
        <v>40</v>
      </c>
      <c r="F479" s="1" t="s">
        <v>24</v>
      </c>
      <c r="G479" s="1" t="s">
        <v>24</v>
      </c>
      <c r="H479" s="26">
        <v>100</v>
      </c>
      <c r="I479" s="27" t="str">
        <f>HYPERLINK("https://doc.morningstar.com/Document/edd5378f014b4e4d4d137c95e69b6197.msdoc?clientid=fnz&amp;key=9c0e4d166b60ffd3","TMD")</f>
        <v>TMD</v>
      </c>
      <c r="J479" t="s">
        <v>25</v>
      </c>
      <c r="K479" s="1" t="s">
        <v>25</v>
      </c>
      <c r="L479" s="1" t="s">
        <v>25</v>
      </c>
      <c r="M479" s="1" t="s">
        <v>25</v>
      </c>
      <c r="N479" s="1" t="s">
        <v>26</v>
      </c>
      <c r="O479" s="1" t="s">
        <v>27</v>
      </c>
      <c r="P479" s="1" t="s">
        <v>27</v>
      </c>
      <c r="Q479" s="1" t="s">
        <v>26</v>
      </c>
    </row>
    <row r="480" spans="1:17" ht="16.5" customHeight="1" x14ac:dyDescent="0.25">
      <c r="A480" s="1" t="s">
        <v>274</v>
      </c>
      <c r="B480" s="1" t="s">
        <v>990</v>
      </c>
      <c r="C480" s="1" t="s">
        <v>991</v>
      </c>
      <c r="D480" s="44"/>
      <c r="E480" s="1" t="s">
        <v>61</v>
      </c>
      <c r="F480" s="1" t="s">
        <v>24</v>
      </c>
      <c r="G480" s="1" t="s">
        <v>24</v>
      </c>
      <c r="H480" s="26">
        <v>100</v>
      </c>
      <c r="I480" s="27" t="str">
        <f>HYPERLINK("https://doc.morningstar.com/Document/c47b5d6a7fe2bbdb02be62340c09e79d.msdoc?clientid=fnz&amp;key=9c0e4d166b60ffd3","TMD")</f>
        <v>TMD</v>
      </c>
      <c r="J480" t="s">
        <v>25</v>
      </c>
      <c r="K480" s="1" t="s">
        <v>25</v>
      </c>
      <c r="L480" s="1" t="s">
        <v>25</v>
      </c>
      <c r="M480" s="1" t="s">
        <v>25</v>
      </c>
      <c r="N480" s="1" t="s">
        <v>26</v>
      </c>
      <c r="O480" s="1" t="s">
        <v>26</v>
      </c>
      <c r="P480" s="1" t="s">
        <v>27</v>
      </c>
      <c r="Q480" s="1" t="s">
        <v>26</v>
      </c>
    </row>
    <row r="481" spans="1:17" ht="16.5" customHeight="1" x14ac:dyDescent="0.25">
      <c r="A481" s="1" t="s">
        <v>274</v>
      </c>
      <c r="B481" s="1" t="s">
        <v>992</v>
      </c>
      <c r="C481" s="1" t="s">
        <v>993</v>
      </c>
      <c r="D481" s="44"/>
      <c r="E481" s="1" t="s">
        <v>23</v>
      </c>
      <c r="F481" s="1" t="s">
        <v>24</v>
      </c>
      <c r="G481" s="1" t="s">
        <v>24</v>
      </c>
      <c r="H481" s="26">
        <v>100</v>
      </c>
      <c r="I481" s="27" t="str">
        <f>HYPERLINK("https://doc.morningstar.com/Document/a839197848b20a00e6c2563d4ecce15a.msdoc?clientid=fnz&amp;key=9c0e4d166b60ffd3","TMD")</f>
        <v>TMD</v>
      </c>
      <c r="J481" t="s">
        <v>25</v>
      </c>
      <c r="K481" s="1" t="s">
        <v>25</v>
      </c>
      <c r="L481" s="1" t="s">
        <v>25</v>
      </c>
      <c r="M481" s="1" t="s">
        <v>25</v>
      </c>
      <c r="N481" s="1" t="s">
        <v>26</v>
      </c>
      <c r="O481" s="1" t="s">
        <v>26</v>
      </c>
      <c r="P481" s="1" t="s">
        <v>27</v>
      </c>
      <c r="Q481" s="1" t="s">
        <v>26</v>
      </c>
    </row>
    <row r="482" spans="1:17" ht="16.5" customHeight="1" x14ac:dyDescent="0.25">
      <c r="A482" s="1" t="s">
        <v>141</v>
      </c>
      <c r="B482" s="1" t="s">
        <v>994</v>
      </c>
      <c r="C482" s="1" t="s">
        <v>995</v>
      </c>
      <c r="D482" s="44"/>
      <c r="E482" s="1" t="s">
        <v>428</v>
      </c>
      <c r="F482" s="1" t="s">
        <v>24</v>
      </c>
      <c r="G482" s="1" t="s">
        <v>24</v>
      </c>
      <c r="H482" s="26">
        <v>20</v>
      </c>
      <c r="I482" s="27" t="str">
        <f>HYPERLINK("https://doc.morningstar.com/Document/db913e54f685684e0709a4a7d5b75b5c.msdoc?clientid=fnz&amp;key=9c0e4d166b60ffd3","TMD")</f>
        <v>TMD</v>
      </c>
      <c r="J482" t="s">
        <v>25</v>
      </c>
      <c r="K482" s="1" t="s">
        <v>25</v>
      </c>
      <c r="L482" s="1" t="s">
        <v>25</v>
      </c>
      <c r="M482" s="1" t="s">
        <v>25</v>
      </c>
      <c r="N482" s="1" t="s">
        <v>26</v>
      </c>
      <c r="O482" s="1" t="s">
        <v>26</v>
      </c>
      <c r="P482" s="1" t="s">
        <v>27</v>
      </c>
      <c r="Q482" s="1" t="s">
        <v>26</v>
      </c>
    </row>
    <row r="483" spans="1:17" ht="16.5" customHeight="1" x14ac:dyDescent="0.25">
      <c r="A483" s="1" t="s">
        <v>28</v>
      </c>
      <c r="B483" s="1" t="s">
        <v>996</v>
      </c>
      <c r="C483" s="1" t="s">
        <v>997</v>
      </c>
      <c r="D483" s="44"/>
      <c r="E483" s="1" t="s">
        <v>61</v>
      </c>
      <c r="F483" s="1" t="s">
        <v>24</v>
      </c>
      <c r="G483" s="1" t="s">
        <v>24</v>
      </c>
      <c r="H483" s="26">
        <v>30</v>
      </c>
      <c r="I483" s="27" t="str">
        <f>HYPERLINK("https://doc.morningstar.com/Document/ae662d198e6895f227db4c1b2e42e06d.msdoc?clientid=fnz&amp;key=9c0e4d166b60ffd3","TMD")</f>
        <v>TMD</v>
      </c>
      <c r="J483" t="s">
        <v>25</v>
      </c>
      <c r="K483" s="1" t="s">
        <v>25</v>
      </c>
      <c r="L483" s="1" t="s">
        <v>25</v>
      </c>
      <c r="M483" s="1" t="s">
        <v>25</v>
      </c>
      <c r="N483" s="1" t="s">
        <v>26</v>
      </c>
      <c r="O483" s="1" t="s">
        <v>26</v>
      </c>
      <c r="P483" s="1" t="s">
        <v>27</v>
      </c>
      <c r="Q483" s="1" t="s">
        <v>26</v>
      </c>
    </row>
    <row r="484" spans="1:17" ht="16.5" customHeight="1" x14ac:dyDescent="0.25">
      <c r="A484" s="1" t="s">
        <v>109</v>
      </c>
      <c r="B484" s="1" t="s">
        <v>998</v>
      </c>
      <c r="C484" s="1" t="s">
        <v>999</v>
      </c>
      <c r="D484" s="44"/>
      <c r="E484" s="1" t="s">
        <v>40</v>
      </c>
      <c r="F484" s="1" t="s">
        <v>24</v>
      </c>
      <c r="G484" s="1" t="s">
        <v>24</v>
      </c>
      <c r="H484" s="26">
        <v>100</v>
      </c>
      <c r="I484" s="27" t="str">
        <f>HYPERLINK("https://doc.morningstar.com/Document/513281534211708344f291222c8dfd0f.msdoc?clientid=fnz&amp;key=9c0e4d166b60ffd3","TMD")</f>
        <v>TMD</v>
      </c>
      <c r="J484" t="s">
        <v>25</v>
      </c>
      <c r="K484" s="1" t="s">
        <v>25</v>
      </c>
      <c r="L484" s="1" t="s">
        <v>25</v>
      </c>
      <c r="M484" s="1" t="s">
        <v>25</v>
      </c>
      <c r="N484" s="1" t="s">
        <v>26</v>
      </c>
      <c r="O484" s="1" t="s">
        <v>26</v>
      </c>
      <c r="P484" s="1" t="s">
        <v>27</v>
      </c>
      <c r="Q484" s="1" t="s">
        <v>27</v>
      </c>
    </row>
    <row r="485" spans="1:17" ht="16.5" customHeight="1" x14ac:dyDescent="0.25">
      <c r="A485" s="1" t="s">
        <v>37</v>
      </c>
      <c r="B485" s="1" t="s">
        <v>1000</v>
      </c>
      <c r="C485" s="1" t="s">
        <v>1001</v>
      </c>
      <c r="D485" s="44"/>
      <c r="E485" s="1" t="s">
        <v>40</v>
      </c>
      <c r="F485" s="1" t="s">
        <v>24</v>
      </c>
      <c r="G485" s="1" t="s">
        <v>24</v>
      </c>
      <c r="H485" s="26">
        <v>50</v>
      </c>
      <c r="I485" s="27" t="str">
        <f>HYPERLINK("https://doc.morningstar.com/Document/d8fa0b24c5bd6d5a8de98bf4e3a4a776.msdoc?clientid=fnz&amp;key=9c0e4d166b60ffd3","TMD")</f>
        <v>TMD</v>
      </c>
      <c r="J485" t="s">
        <v>25</v>
      </c>
      <c r="K485" s="1" t="s">
        <v>25</v>
      </c>
      <c r="L485" s="1" t="s">
        <v>25</v>
      </c>
      <c r="M485" s="1" t="s">
        <v>25</v>
      </c>
      <c r="N485" s="1" t="s">
        <v>26</v>
      </c>
      <c r="O485" s="1" t="s">
        <v>26</v>
      </c>
      <c r="P485" s="1" t="s">
        <v>27</v>
      </c>
      <c r="Q485" s="1" t="s">
        <v>27</v>
      </c>
    </row>
    <row r="486" spans="1:17" ht="16.5" customHeight="1" x14ac:dyDescent="0.25">
      <c r="A486" s="1" t="s">
        <v>37</v>
      </c>
      <c r="B486" s="1" t="s">
        <v>1002</v>
      </c>
      <c r="C486" s="1" t="s">
        <v>1003</v>
      </c>
      <c r="D486" s="44"/>
      <c r="E486" s="1" t="s">
        <v>40</v>
      </c>
      <c r="F486" s="1" t="s">
        <v>24</v>
      </c>
      <c r="G486" s="1" t="s">
        <v>24</v>
      </c>
      <c r="H486" s="26">
        <v>50</v>
      </c>
      <c r="I486" s="27" t="str">
        <f>HYPERLINK("https://doc.morningstar.com/Document/396fe9a0654e1498d58bcd7779b78c8d.msdoc?clientid=fnz&amp;key=9c0e4d166b60ffd3","TMD")</f>
        <v>TMD</v>
      </c>
      <c r="J486" t="s">
        <v>25</v>
      </c>
      <c r="K486" s="1" t="s">
        <v>25</v>
      </c>
      <c r="L486" s="1" t="s">
        <v>25</v>
      </c>
      <c r="M486" s="1" t="s">
        <v>25</v>
      </c>
      <c r="N486" s="1" t="s">
        <v>26</v>
      </c>
      <c r="O486" s="1" t="s">
        <v>26</v>
      </c>
      <c r="P486" s="1" t="s">
        <v>27</v>
      </c>
      <c r="Q486" s="1" t="s">
        <v>27</v>
      </c>
    </row>
    <row r="487" spans="1:17" ht="16.5" customHeight="1" x14ac:dyDescent="0.25">
      <c r="A487" s="1" t="s">
        <v>34</v>
      </c>
      <c r="B487" s="1" t="s">
        <v>1004</v>
      </c>
      <c r="C487" s="1" t="s">
        <v>1005</v>
      </c>
      <c r="D487" s="44"/>
      <c r="E487" s="1" t="s">
        <v>61</v>
      </c>
      <c r="F487" s="1" t="s">
        <v>24</v>
      </c>
      <c r="G487" s="1" t="s">
        <v>24</v>
      </c>
      <c r="H487" s="26">
        <v>30</v>
      </c>
      <c r="I487" s="27" t="str">
        <f>HYPERLINK("https://doc.morningstar.com/Document/6f022493b292ceec57fa4c5377afddd4.msdoc?clientid=fnz&amp;key=9c0e4d166b60ffd3","TMD")</f>
        <v>TMD</v>
      </c>
      <c r="J487" t="s">
        <v>25</v>
      </c>
      <c r="K487" s="1" t="s">
        <v>25</v>
      </c>
      <c r="L487" s="1" t="s">
        <v>25</v>
      </c>
      <c r="M487" s="1" t="s">
        <v>25</v>
      </c>
      <c r="N487" s="1" t="s">
        <v>26</v>
      </c>
      <c r="O487" s="1" t="s">
        <v>26</v>
      </c>
      <c r="P487" s="1" t="s">
        <v>26</v>
      </c>
      <c r="Q487" s="1" t="s">
        <v>27</v>
      </c>
    </row>
    <row r="488" spans="1:17" ht="16.5" customHeight="1" x14ac:dyDescent="0.25">
      <c r="A488" s="1" t="s">
        <v>28</v>
      </c>
      <c r="B488" s="1" t="s">
        <v>1006</v>
      </c>
      <c r="C488" s="1" t="s">
        <v>1007</v>
      </c>
      <c r="D488" s="44"/>
      <c r="E488" s="1" t="s">
        <v>61</v>
      </c>
      <c r="F488" s="1" t="s">
        <v>24</v>
      </c>
      <c r="G488" s="1" t="s">
        <v>24</v>
      </c>
      <c r="H488" s="26">
        <v>30</v>
      </c>
      <c r="I488" s="27" t="str">
        <f>HYPERLINK("https://doc.morningstar.com/Document/1723af0526686dad654636ab53c70059.msdoc?clientid=fnz&amp;key=9c0e4d166b60ffd3","TMD")</f>
        <v>TMD</v>
      </c>
      <c r="J488" t="s">
        <v>25</v>
      </c>
      <c r="K488" s="1" t="s">
        <v>25</v>
      </c>
      <c r="L488" s="1" t="s">
        <v>25</v>
      </c>
      <c r="M488" s="1" t="s">
        <v>25</v>
      </c>
      <c r="N488" s="1" t="s">
        <v>26</v>
      </c>
      <c r="O488" s="1" t="s">
        <v>26</v>
      </c>
      <c r="P488" s="1" t="s">
        <v>27</v>
      </c>
      <c r="Q488" s="1" t="s">
        <v>26</v>
      </c>
    </row>
    <row r="489" spans="1:17" ht="16.5" customHeight="1" x14ac:dyDescent="0.25">
      <c r="A489" s="1" t="s">
        <v>65</v>
      </c>
      <c r="B489" s="1" t="s">
        <v>1008</v>
      </c>
      <c r="C489" s="1" t="s">
        <v>1009</v>
      </c>
      <c r="D489" s="44"/>
      <c r="E489" s="1" t="s">
        <v>23</v>
      </c>
      <c r="F489" s="1" t="s">
        <v>24</v>
      </c>
      <c r="G489" s="1" t="s">
        <v>24</v>
      </c>
      <c r="H489" s="26">
        <v>100</v>
      </c>
      <c r="I489" s="27" t="str">
        <f>HYPERLINK("https://doc.morningstar.com/Document/dbbb23a50b43b2a59cf363ecd91578e6.msdoc?clientid=fnz&amp;key=9c0e4d166b60ffd3","TMD")</f>
        <v>TMD</v>
      </c>
      <c r="J489" t="s">
        <v>25</v>
      </c>
      <c r="K489" s="1" t="s">
        <v>25</v>
      </c>
      <c r="L489" s="1" t="s">
        <v>25</v>
      </c>
      <c r="M489" s="1" t="s">
        <v>25</v>
      </c>
      <c r="N489" s="1" t="s">
        <v>26</v>
      </c>
      <c r="O489" s="1" t="s">
        <v>27</v>
      </c>
      <c r="P489" s="1" t="s">
        <v>27</v>
      </c>
      <c r="Q489" s="1" t="s">
        <v>26</v>
      </c>
    </row>
    <row r="490" spans="1:17" ht="16.5" customHeight="1" x14ac:dyDescent="0.25">
      <c r="A490" s="1" t="s">
        <v>225</v>
      </c>
      <c r="B490" s="1" t="s">
        <v>1010</v>
      </c>
      <c r="C490" s="1" t="s">
        <v>1011</v>
      </c>
      <c r="D490" s="44"/>
      <c r="E490" s="1" t="s">
        <v>23</v>
      </c>
      <c r="F490" s="1" t="s">
        <v>24</v>
      </c>
      <c r="G490" s="1" t="s">
        <v>24</v>
      </c>
      <c r="H490" s="26">
        <v>30</v>
      </c>
      <c r="I490" s="27" t="str">
        <f>HYPERLINK("https://doc.morningstar.com/Document/61f447bd4f1652c120bfef37cb939cca.msdoc?clientid=fnz&amp;key=9c0e4d166b60ffd3","TMD")</f>
        <v>TMD</v>
      </c>
      <c r="J490" t="s">
        <v>25</v>
      </c>
      <c r="K490" s="1" t="s">
        <v>25</v>
      </c>
      <c r="L490" s="1" t="s">
        <v>25</v>
      </c>
      <c r="M490" s="1" t="s">
        <v>25</v>
      </c>
      <c r="N490" s="1" t="s">
        <v>26</v>
      </c>
      <c r="O490" s="1" t="s">
        <v>26</v>
      </c>
      <c r="P490" s="1" t="s">
        <v>27</v>
      </c>
      <c r="Q490" s="1" t="s">
        <v>27</v>
      </c>
    </row>
    <row r="491" spans="1:17" ht="16.5" customHeight="1" x14ac:dyDescent="0.25">
      <c r="A491" s="1" t="s">
        <v>225</v>
      </c>
      <c r="B491" s="1" t="s">
        <v>1012</v>
      </c>
      <c r="C491" s="1" t="s">
        <v>1013</v>
      </c>
      <c r="D491" s="44"/>
      <c r="E491" s="1" t="s">
        <v>23</v>
      </c>
      <c r="F491" s="1" t="s">
        <v>24</v>
      </c>
      <c r="G491" s="1" t="s">
        <v>24</v>
      </c>
      <c r="H491" s="26">
        <v>30</v>
      </c>
      <c r="I491" s="27" t="str">
        <f>HYPERLINK("https://doc.morningstar.com/Document/af3adb065160cef7a36e3811eafea20b.msdoc?clientid=fnz&amp;key=9c0e4d166b60ffd3","TMD")</f>
        <v>TMD</v>
      </c>
      <c r="J491" t="s">
        <v>25</v>
      </c>
      <c r="K491" s="1" t="s">
        <v>25</v>
      </c>
      <c r="L491" s="1" t="s">
        <v>25</v>
      </c>
      <c r="M491" s="1" t="s">
        <v>25</v>
      </c>
      <c r="N491" s="1" t="s">
        <v>26</v>
      </c>
      <c r="O491" s="1" t="s">
        <v>26</v>
      </c>
      <c r="P491" s="1" t="s">
        <v>27</v>
      </c>
      <c r="Q491" s="1" t="s">
        <v>27</v>
      </c>
    </row>
    <row r="492" spans="1:17" ht="16.5" customHeight="1" x14ac:dyDescent="0.25">
      <c r="A492" s="1" t="s">
        <v>76</v>
      </c>
      <c r="B492" s="1" t="s">
        <v>1014</v>
      </c>
      <c r="C492" s="1" t="s">
        <v>1015</v>
      </c>
      <c r="D492" s="44"/>
      <c r="E492" s="1" t="s">
        <v>23</v>
      </c>
      <c r="F492" s="1" t="s">
        <v>24</v>
      </c>
      <c r="G492" s="1" t="s">
        <v>24</v>
      </c>
      <c r="H492" s="26">
        <v>100</v>
      </c>
      <c r="I492" s="27" t="str">
        <f>HYPERLINK("https://doc.morningstar.com/Document/61f447bd4f1652c154f359071fdec990.msdoc?clientid=fnz&amp;key=9c0e4d166b60ffd3","TMD")</f>
        <v>TMD</v>
      </c>
      <c r="J492" t="s">
        <v>25</v>
      </c>
      <c r="K492" s="1" t="s">
        <v>25</v>
      </c>
      <c r="L492" s="1" t="s">
        <v>25</v>
      </c>
      <c r="M492" s="1" t="s">
        <v>25</v>
      </c>
      <c r="N492" s="1" t="s">
        <v>26</v>
      </c>
      <c r="O492" s="1" t="s">
        <v>27</v>
      </c>
      <c r="P492" s="1" t="s">
        <v>27</v>
      </c>
      <c r="Q492" s="1" t="s">
        <v>27</v>
      </c>
    </row>
    <row r="493" spans="1:17" ht="16.5" customHeight="1" x14ac:dyDescent="0.25">
      <c r="A493" s="1" t="s">
        <v>109</v>
      </c>
      <c r="B493" s="1" t="s">
        <v>1016</v>
      </c>
      <c r="C493" s="1" t="s">
        <v>1017</v>
      </c>
      <c r="D493" s="44"/>
      <c r="E493" s="1" t="s">
        <v>23</v>
      </c>
      <c r="F493" s="1" t="s">
        <v>24</v>
      </c>
      <c r="G493" s="1" t="s">
        <v>24</v>
      </c>
      <c r="H493" s="26">
        <v>100</v>
      </c>
      <c r="I493" s="27" t="str">
        <f>HYPERLINK("https://doc.morningstar.com/Document/f31f3540502e99b7e1ce82afea2c4c74.msdoc?clientid=fnz&amp;key=9c0e4d166b60ffd3","TMD")</f>
        <v>TMD</v>
      </c>
      <c r="J493" t="s">
        <v>25</v>
      </c>
      <c r="K493" s="1" t="s">
        <v>25</v>
      </c>
      <c r="L493" s="1" t="s">
        <v>25</v>
      </c>
      <c r="M493" s="1" t="s">
        <v>25</v>
      </c>
      <c r="N493" s="1" t="s">
        <v>26</v>
      </c>
      <c r="O493" s="1" t="s">
        <v>26</v>
      </c>
      <c r="P493" s="1" t="s">
        <v>27</v>
      </c>
      <c r="Q493" s="1" t="s">
        <v>27</v>
      </c>
    </row>
    <row r="494" spans="1:17" ht="16.5" customHeight="1" x14ac:dyDescent="0.25">
      <c r="A494" s="1" t="s">
        <v>58</v>
      </c>
      <c r="B494" s="1" t="s">
        <v>1018</v>
      </c>
      <c r="C494" s="1" t="s">
        <v>1019</v>
      </c>
      <c r="D494" s="44"/>
      <c r="E494" s="1" t="s">
        <v>61</v>
      </c>
      <c r="F494" s="1" t="s">
        <v>24</v>
      </c>
      <c r="G494" s="1" t="s">
        <v>24</v>
      </c>
      <c r="H494" s="26">
        <v>100</v>
      </c>
      <c r="I494" s="27" t="str">
        <f>HYPERLINK("https://doc.morningstar.com/Document/aa1036706a086d542e057645f37db932.msdoc?clientid=fnz&amp;key=9c0e4d166b60ffd3","TMD")</f>
        <v>TMD</v>
      </c>
      <c r="J494" t="s">
        <v>62</v>
      </c>
      <c r="K494" s="1" t="s">
        <v>25</v>
      </c>
      <c r="L494" s="1" t="s">
        <v>25</v>
      </c>
      <c r="M494" s="1" t="s">
        <v>25</v>
      </c>
      <c r="N494" s="1" t="s">
        <v>26</v>
      </c>
      <c r="O494" s="1" t="s">
        <v>26</v>
      </c>
      <c r="P494" s="1" t="s">
        <v>26</v>
      </c>
      <c r="Q494" s="1" t="s">
        <v>26</v>
      </c>
    </row>
    <row r="495" spans="1:17" ht="16.5" customHeight="1" x14ac:dyDescent="0.25">
      <c r="A495" s="1" t="s">
        <v>81</v>
      </c>
      <c r="B495" s="1" t="s">
        <v>1020</v>
      </c>
      <c r="C495" s="1" t="s">
        <v>1021</v>
      </c>
      <c r="D495" s="44"/>
      <c r="E495" s="1" t="s">
        <v>40</v>
      </c>
      <c r="F495" s="1" t="s">
        <v>24</v>
      </c>
      <c r="G495" s="1" t="s">
        <v>24</v>
      </c>
      <c r="H495" s="26">
        <v>50</v>
      </c>
      <c r="I495" s="27" t="str">
        <f>HYPERLINK("https://doc.morningstar.com/Document/ed006a09390e73064399e716ec18c6fd.msdoc?clientid=fnz&amp;key=9c0e4d166b60ffd3","TMD")</f>
        <v>TMD</v>
      </c>
      <c r="J495" t="s">
        <v>25</v>
      </c>
      <c r="K495" s="1" t="s">
        <v>25</v>
      </c>
      <c r="L495" s="1" t="s">
        <v>25</v>
      </c>
      <c r="M495" s="1" t="s">
        <v>25</v>
      </c>
      <c r="N495" s="1" t="s">
        <v>26</v>
      </c>
      <c r="O495" s="1" t="s">
        <v>26</v>
      </c>
      <c r="P495" s="1" t="s">
        <v>27</v>
      </c>
      <c r="Q495" s="1" t="s">
        <v>27</v>
      </c>
    </row>
    <row r="496" spans="1:17" ht="16.5" customHeight="1" x14ac:dyDescent="0.25">
      <c r="A496" s="1" t="s">
        <v>68</v>
      </c>
      <c r="B496" s="1" t="s">
        <v>1022</v>
      </c>
      <c r="C496" s="1" t="s">
        <v>1023</v>
      </c>
      <c r="D496" s="44"/>
      <c r="E496" s="1" t="s">
        <v>40</v>
      </c>
      <c r="F496" s="1" t="s">
        <v>24</v>
      </c>
      <c r="G496" s="1" t="s">
        <v>24</v>
      </c>
      <c r="H496" s="26">
        <v>100</v>
      </c>
      <c r="I496" s="27" t="str">
        <f>HYPERLINK("https://doc.morningstar.com/Document/91fed44d496c50628f6bba742f3d0c52.msdoc?clientid=fnz&amp;key=9c0e4d166b60ffd3","TMD")</f>
        <v>TMD</v>
      </c>
      <c r="J496" t="s">
        <v>25</v>
      </c>
      <c r="K496" s="1" t="s">
        <v>25</v>
      </c>
      <c r="L496" s="1" t="s">
        <v>25</v>
      </c>
      <c r="M496" s="1" t="s">
        <v>25</v>
      </c>
      <c r="N496" s="1" t="s">
        <v>27</v>
      </c>
      <c r="O496" s="1" t="s">
        <v>27</v>
      </c>
      <c r="P496" s="1" t="s">
        <v>26</v>
      </c>
      <c r="Q496" s="1" t="s">
        <v>26</v>
      </c>
    </row>
    <row r="497" spans="1:17" ht="16.5" customHeight="1" x14ac:dyDescent="0.25">
      <c r="A497" s="1" t="s">
        <v>281</v>
      </c>
      <c r="B497" s="1" t="s">
        <v>1024</v>
      </c>
      <c r="C497" s="1" t="s">
        <v>1025</v>
      </c>
      <c r="D497" s="44"/>
      <c r="E497" s="1" t="s">
        <v>1026</v>
      </c>
      <c r="F497" s="1" t="s">
        <v>24</v>
      </c>
      <c r="G497" s="1" t="s">
        <v>24</v>
      </c>
      <c r="H497" s="26">
        <v>100</v>
      </c>
      <c r="I497" s="27" t="str">
        <f>HYPERLINK("https://doc.morningstar.com/Document/da4f072fa4aac684d43a3235a2878909.msdoc?clientid=fnz&amp;key=9c0e4d166b60ffd3","TMD")</f>
        <v>TMD</v>
      </c>
      <c r="J497" t="s">
        <v>25</v>
      </c>
      <c r="K497" s="1" t="s">
        <v>216</v>
      </c>
      <c r="L497" s="1" t="s">
        <v>27</v>
      </c>
      <c r="M497" s="1" t="s">
        <v>27</v>
      </c>
      <c r="N497" s="1" t="s">
        <v>27</v>
      </c>
      <c r="O497" s="1" t="s">
        <v>27</v>
      </c>
      <c r="P497" s="1" t="s">
        <v>27</v>
      </c>
      <c r="Q497" s="1" t="s">
        <v>27</v>
      </c>
    </row>
    <row r="498" spans="1:17" ht="16.5" customHeight="1" x14ac:dyDescent="0.25">
      <c r="A498" s="1" t="s">
        <v>281</v>
      </c>
      <c r="B498" s="1" t="s">
        <v>1027</v>
      </c>
      <c r="C498" s="1" t="s">
        <v>1028</v>
      </c>
      <c r="D498" s="44"/>
      <c r="E498" s="1" t="s">
        <v>45</v>
      </c>
      <c r="F498" s="1" t="s">
        <v>24</v>
      </c>
      <c r="G498" s="1" t="s">
        <v>24</v>
      </c>
      <c r="H498" s="26">
        <v>100</v>
      </c>
      <c r="I498" s="27" t="str">
        <f>HYPERLINK("https://doc.morningstar.com/Document/a0a98d18eaab02fef0fc96210ae6f664.msdoc?clientid=fnz&amp;key=9c0e4d166b60ffd3","TMD")</f>
        <v>TMD</v>
      </c>
      <c r="J498" t="s">
        <v>62</v>
      </c>
      <c r="K498" s="1" t="s">
        <v>27</v>
      </c>
      <c r="L498" s="1" t="s">
        <v>27</v>
      </c>
      <c r="M498" s="1" t="s">
        <v>27</v>
      </c>
      <c r="N498" s="1" t="s">
        <v>27</v>
      </c>
      <c r="O498" s="1" t="s">
        <v>27</v>
      </c>
      <c r="P498" s="1" t="s">
        <v>27</v>
      </c>
      <c r="Q498" s="1" t="s">
        <v>27</v>
      </c>
    </row>
    <row r="499" spans="1:17" ht="16.5" customHeight="1" x14ac:dyDescent="0.25">
      <c r="A499" s="1" t="s">
        <v>52</v>
      </c>
      <c r="B499" s="1" t="s">
        <v>1029</v>
      </c>
      <c r="C499" s="1" t="s">
        <v>1030</v>
      </c>
      <c r="D499" s="44"/>
      <c r="E499" s="1" t="s">
        <v>45</v>
      </c>
      <c r="F499" s="1" t="s">
        <v>24</v>
      </c>
      <c r="G499" s="1" t="s">
        <v>24</v>
      </c>
      <c r="H499" s="26">
        <v>100</v>
      </c>
      <c r="I499" s="27" t="str">
        <f>HYPERLINK("https://doc.morningstar.com/Document/58a12b373ac7b549c6e9861b3c8f74ea.msdoc?clientid=fnz&amp;key=9c0e4d166b60ffd3","TMD")</f>
        <v>TMD</v>
      </c>
      <c r="J499" t="s">
        <v>25</v>
      </c>
      <c r="K499" s="1" t="s">
        <v>25</v>
      </c>
      <c r="L499" s="1" t="s">
        <v>25</v>
      </c>
      <c r="M499" s="1" t="s">
        <v>25</v>
      </c>
      <c r="N499" s="1" t="s">
        <v>216</v>
      </c>
      <c r="O499" s="1" t="s">
        <v>27</v>
      </c>
      <c r="P499" s="1" t="s">
        <v>216</v>
      </c>
      <c r="Q499" s="1" t="s">
        <v>26</v>
      </c>
    </row>
    <row r="500" spans="1:17" ht="16.5" customHeight="1" x14ac:dyDescent="0.25">
      <c r="A500" s="1" t="s">
        <v>68</v>
      </c>
      <c r="B500" s="1" t="s">
        <v>1031</v>
      </c>
      <c r="C500" s="1" t="s">
        <v>1032</v>
      </c>
      <c r="D500" s="44"/>
      <c r="E500" s="1" t="s">
        <v>45</v>
      </c>
      <c r="F500" s="1" t="s">
        <v>24</v>
      </c>
      <c r="G500" s="1" t="s">
        <v>24</v>
      </c>
      <c r="H500" s="26">
        <v>100</v>
      </c>
      <c r="I500" s="27" t="str">
        <f>HYPERLINK("https://doc.morningstar.com/Document/743e9d76e12d3ad283872245c0238417.msdoc?clientid=fnz&amp;key=9c0e4d166b60ffd3","TMD")</f>
        <v>TMD</v>
      </c>
      <c r="J500" t="s">
        <v>62</v>
      </c>
      <c r="K500" s="1" t="s">
        <v>25</v>
      </c>
      <c r="L500" s="1" t="s">
        <v>25</v>
      </c>
      <c r="M500" s="1" t="s">
        <v>25</v>
      </c>
      <c r="N500" s="1" t="s">
        <v>26</v>
      </c>
      <c r="O500" s="1" t="s">
        <v>27</v>
      </c>
      <c r="P500" s="1" t="s">
        <v>27</v>
      </c>
      <c r="Q500" s="1" t="s">
        <v>27</v>
      </c>
    </row>
    <row r="501" spans="1:17" ht="16.5" customHeight="1" x14ac:dyDescent="0.25">
      <c r="A501" s="1" t="s">
        <v>281</v>
      </c>
      <c r="B501" s="1" t="s">
        <v>1033</v>
      </c>
      <c r="C501" s="1" t="s">
        <v>1034</v>
      </c>
      <c r="D501" s="44"/>
      <c r="E501" s="1" t="s">
        <v>40</v>
      </c>
      <c r="F501" s="1" t="s">
        <v>24</v>
      </c>
      <c r="G501" s="1" t="s">
        <v>24</v>
      </c>
      <c r="H501" s="26">
        <v>100</v>
      </c>
      <c r="I501" s="27" t="str">
        <f>HYPERLINK("https://doc.morningstar.com/Document/77049b4f2584e9adad4bbf6659f32143.msdoc?clientid=fnz&amp;key=9c0e4d166b60ffd3","TMD")</f>
        <v>TMD</v>
      </c>
      <c r="J501" t="s">
        <v>25</v>
      </c>
      <c r="K501" s="1" t="s">
        <v>27</v>
      </c>
      <c r="L501" s="1" t="s">
        <v>27</v>
      </c>
      <c r="M501" s="1" t="s">
        <v>27</v>
      </c>
      <c r="N501" s="1" t="s">
        <v>27</v>
      </c>
      <c r="O501" s="1" t="s">
        <v>27</v>
      </c>
      <c r="P501" s="1" t="s">
        <v>216</v>
      </c>
      <c r="Q501" s="1" t="s">
        <v>216</v>
      </c>
    </row>
    <row r="502" spans="1:17" ht="16.5" customHeight="1" x14ac:dyDescent="0.25">
      <c r="A502" s="1" t="s">
        <v>141</v>
      </c>
      <c r="B502" s="1" t="s">
        <v>1035</v>
      </c>
      <c r="C502" s="1" t="s">
        <v>1036</v>
      </c>
      <c r="D502" s="44"/>
      <c r="E502" s="1" t="s">
        <v>45</v>
      </c>
      <c r="F502" s="1" t="s">
        <v>24</v>
      </c>
      <c r="G502" s="1" t="s">
        <v>24</v>
      </c>
      <c r="H502" s="26">
        <v>20</v>
      </c>
      <c r="I502" s="27" t="str">
        <f>HYPERLINK("https://doc.morningstar.com/Document/a94f1fc48d277c6b60c9daec57f5a414.msdoc?clientid=fnz&amp;key=9c0e4d166b60ffd3","TMD")</f>
        <v>TMD</v>
      </c>
      <c r="J502" t="s">
        <v>25</v>
      </c>
      <c r="K502" s="1" t="s">
        <v>216</v>
      </c>
      <c r="L502" s="1" t="s">
        <v>27</v>
      </c>
      <c r="M502" s="1" t="s">
        <v>27</v>
      </c>
      <c r="N502" s="1" t="s">
        <v>27</v>
      </c>
      <c r="O502" s="1" t="s">
        <v>27</v>
      </c>
      <c r="P502" s="1" t="s">
        <v>27</v>
      </c>
      <c r="Q502" s="1" t="s">
        <v>27</v>
      </c>
    </row>
    <row r="503" spans="1:17" ht="16.5" customHeight="1" x14ac:dyDescent="0.25">
      <c r="A503" s="1" t="s">
        <v>28</v>
      </c>
      <c r="B503" s="1" t="s">
        <v>1037</v>
      </c>
      <c r="C503" s="1" t="s">
        <v>1038</v>
      </c>
      <c r="D503" s="44"/>
      <c r="E503" s="1" t="s">
        <v>61</v>
      </c>
      <c r="F503" s="1" t="s">
        <v>24</v>
      </c>
      <c r="G503" s="1" t="s">
        <v>24</v>
      </c>
      <c r="H503" s="26">
        <v>30</v>
      </c>
      <c r="I503" s="27" t="str">
        <f>HYPERLINK("https://doc.morningstar.com/Document/032c7c61d3b64d6a1880236d288f8ec6.msdoc?clientid=fnz&amp;key=9c0e4d166b60ffd3","TMD")</f>
        <v>TMD</v>
      </c>
      <c r="J503" t="s">
        <v>25</v>
      </c>
      <c r="K503" s="1" t="s">
        <v>25</v>
      </c>
      <c r="L503" s="1" t="s">
        <v>25</v>
      </c>
      <c r="M503" s="1" t="s">
        <v>25</v>
      </c>
      <c r="N503" s="1" t="s">
        <v>26</v>
      </c>
      <c r="O503" s="1" t="s">
        <v>26</v>
      </c>
      <c r="P503" s="1" t="s">
        <v>27</v>
      </c>
      <c r="Q503" s="1" t="s">
        <v>27</v>
      </c>
    </row>
    <row r="504" spans="1:17" ht="16.5" customHeight="1" x14ac:dyDescent="0.25">
      <c r="A504" s="1" t="s">
        <v>31</v>
      </c>
      <c r="B504" s="1" t="s">
        <v>1039</v>
      </c>
      <c r="C504" s="1" t="s">
        <v>1040</v>
      </c>
      <c r="D504" s="44"/>
      <c r="E504" s="1" t="s">
        <v>61</v>
      </c>
      <c r="F504" s="1" t="s">
        <v>195</v>
      </c>
      <c r="G504" s="1" t="s">
        <v>24</v>
      </c>
      <c r="H504" s="26">
        <v>100</v>
      </c>
      <c r="I504" s="27" t="str">
        <f>HYPERLINK("https://doc.morningstar.com/Document/1d4cd18e60ab7f43529825cbad16e3c9.msdoc?clientid=fnz&amp;key=9c0e4d166b60ffd3","TMD")</f>
        <v>TMD</v>
      </c>
      <c r="J504" t="s">
        <v>25</v>
      </c>
      <c r="K504" s="1" t="s">
        <v>26</v>
      </c>
      <c r="L504" s="1" t="s">
        <v>26</v>
      </c>
      <c r="M504" s="1" t="s">
        <v>27</v>
      </c>
      <c r="N504" s="1" t="s">
        <v>26</v>
      </c>
      <c r="O504" s="1" t="s">
        <v>26</v>
      </c>
      <c r="P504" s="1" t="s">
        <v>27</v>
      </c>
      <c r="Q504" s="1" t="s">
        <v>27</v>
      </c>
    </row>
    <row r="505" spans="1:17" ht="16.5" customHeight="1" x14ac:dyDescent="0.25">
      <c r="A505" s="1" t="s">
        <v>34</v>
      </c>
      <c r="B505" s="1" t="s">
        <v>1041</v>
      </c>
      <c r="C505" s="1" t="s">
        <v>1042</v>
      </c>
      <c r="D505" s="44"/>
      <c r="E505" s="1" t="s">
        <v>23</v>
      </c>
      <c r="F505" s="1" t="s">
        <v>24</v>
      </c>
      <c r="G505" s="1" t="s">
        <v>24</v>
      </c>
      <c r="H505" s="26">
        <v>30</v>
      </c>
      <c r="I505" s="27" t="str">
        <f>HYPERLINK("https://doc.morningstar.com/Document/abd841eae31bd2378fd42b4f7cd998ba.msdoc?clientid=fnz&amp;key=9c0e4d166b60ffd3","TMD")</f>
        <v>TMD</v>
      </c>
      <c r="J505" t="s">
        <v>25</v>
      </c>
      <c r="K505" s="1" t="s">
        <v>26</v>
      </c>
      <c r="L505" s="1" t="s">
        <v>26</v>
      </c>
      <c r="M505" s="1" t="s">
        <v>27</v>
      </c>
      <c r="N505" s="1" t="s">
        <v>26</v>
      </c>
      <c r="O505" s="1" t="s">
        <v>26</v>
      </c>
      <c r="P505" s="1" t="s">
        <v>27</v>
      </c>
      <c r="Q505" s="1" t="s">
        <v>27</v>
      </c>
    </row>
    <row r="506" spans="1:17" ht="16.5" customHeight="1" x14ac:dyDescent="0.25">
      <c r="A506" s="1" t="s">
        <v>34</v>
      </c>
      <c r="B506" s="1" t="s">
        <v>1043</v>
      </c>
      <c r="C506" s="1" t="s">
        <v>1044</v>
      </c>
      <c r="D506" s="44"/>
      <c r="E506" s="1" t="s">
        <v>61</v>
      </c>
      <c r="F506" s="1" t="s">
        <v>24</v>
      </c>
      <c r="G506" s="1" t="s">
        <v>24</v>
      </c>
      <c r="H506" s="26">
        <v>30</v>
      </c>
      <c r="I506" s="27" t="str">
        <f>HYPERLINK("https://doc.morningstar.com/Document/e6238b3c2f18418bdcc92168c28b5268.msdoc?clientid=fnz&amp;key=9c0e4d166b60ffd3","TMD")</f>
        <v>TMD</v>
      </c>
      <c r="J506" t="s">
        <v>25</v>
      </c>
      <c r="K506" s="1" t="s">
        <v>26</v>
      </c>
      <c r="L506" s="1" t="s">
        <v>26</v>
      </c>
      <c r="M506" s="1" t="s">
        <v>27</v>
      </c>
      <c r="N506" s="1" t="s">
        <v>26</v>
      </c>
      <c r="O506" s="1" t="s">
        <v>26</v>
      </c>
      <c r="P506" s="1" t="s">
        <v>27</v>
      </c>
      <c r="Q506" s="1" t="s">
        <v>27</v>
      </c>
    </row>
    <row r="507" spans="1:17" ht="16.5" customHeight="1" x14ac:dyDescent="0.25">
      <c r="A507" s="1" t="s">
        <v>55</v>
      </c>
      <c r="B507" s="1" t="s">
        <v>1045</v>
      </c>
      <c r="C507" s="1" t="s">
        <v>1046</v>
      </c>
      <c r="D507" s="44"/>
      <c r="E507" s="1" t="s">
        <v>40</v>
      </c>
      <c r="F507" s="1" t="s">
        <v>24</v>
      </c>
      <c r="G507" s="1" t="s">
        <v>24</v>
      </c>
      <c r="H507" s="26">
        <v>100</v>
      </c>
      <c r="I507" s="27" t="str">
        <f>HYPERLINK("https://doc.morningstar.com/Document/032a07357921906246cfbf26268d6ba5.msdoc?clientid=fnz&amp;key=9c0e4d166b60ffd3","TMD")</f>
        <v>TMD</v>
      </c>
      <c r="J507" t="s">
        <v>25</v>
      </c>
      <c r="K507" s="1" t="s">
        <v>216</v>
      </c>
      <c r="L507" s="1" t="s">
        <v>27</v>
      </c>
      <c r="M507" s="1" t="s">
        <v>216</v>
      </c>
      <c r="N507" s="1" t="s">
        <v>26</v>
      </c>
      <c r="O507" s="1" t="s">
        <v>27</v>
      </c>
      <c r="P507" s="1" t="s">
        <v>216</v>
      </c>
      <c r="Q507" s="1" t="s">
        <v>26</v>
      </c>
    </row>
    <row r="508" spans="1:17" ht="16.5" customHeight="1" x14ac:dyDescent="0.25">
      <c r="A508" s="1" t="s">
        <v>31</v>
      </c>
      <c r="B508" s="1" t="s">
        <v>1047</v>
      </c>
      <c r="C508" s="1" t="s">
        <v>1048</v>
      </c>
      <c r="D508" s="44"/>
      <c r="E508" s="1" t="s">
        <v>23</v>
      </c>
      <c r="F508" s="1" t="s">
        <v>24</v>
      </c>
      <c r="G508" s="1" t="s">
        <v>24</v>
      </c>
      <c r="H508" s="26">
        <v>100</v>
      </c>
      <c r="I508" s="27" t="str">
        <f>HYPERLINK("https://doc.morningstar.com/Document/abd841eae31bd237b6e36cb6ef681fe5.msdoc?clientid=fnz&amp;key=9c0e4d166b60ffd3","TMD")</f>
        <v>TMD</v>
      </c>
      <c r="J508" t="s">
        <v>25</v>
      </c>
      <c r="K508" s="1" t="s">
        <v>26</v>
      </c>
      <c r="L508" s="1" t="s">
        <v>26</v>
      </c>
      <c r="M508" s="1" t="s">
        <v>27</v>
      </c>
      <c r="N508" s="1" t="s">
        <v>26</v>
      </c>
      <c r="O508" s="1" t="s">
        <v>26</v>
      </c>
      <c r="P508" s="1" t="s">
        <v>27</v>
      </c>
      <c r="Q508" s="1" t="s">
        <v>27</v>
      </c>
    </row>
    <row r="509" spans="1:17" ht="16.5" customHeight="1" x14ac:dyDescent="0.25">
      <c r="A509" s="5" t="s">
        <v>31</v>
      </c>
      <c r="B509" s="1" t="s">
        <v>1049</v>
      </c>
      <c r="C509" s="1" t="s">
        <v>1050</v>
      </c>
      <c r="D509" s="44"/>
      <c r="E509" s="1" t="s">
        <v>23</v>
      </c>
      <c r="F509" s="1" t="s">
        <v>24</v>
      </c>
      <c r="G509" s="1" t="s">
        <v>24</v>
      </c>
      <c r="H509" s="26">
        <v>100</v>
      </c>
      <c r="I509" s="27" t="str">
        <f>HYPERLINK("https://doc.morningstar.com/Document/0a69c6279fea19451e82752d5d17b034.msdoc?clientid=fnz&amp;key=9c0e4d166b60ffd3","TMD")</f>
        <v>TMD</v>
      </c>
      <c r="J509" t="s">
        <v>25</v>
      </c>
      <c r="K509" s="1" t="s">
        <v>26</v>
      </c>
      <c r="L509" s="1" t="s">
        <v>26</v>
      </c>
      <c r="M509" s="1" t="s">
        <v>27</v>
      </c>
      <c r="N509" s="1" t="s">
        <v>26</v>
      </c>
      <c r="O509" s="1" t="s">
        <v>26</v>
      </c>
      <c r="P509" s="1" t="s">
        <v>27</v>
      </c>
      <c r="Q509" s="1" t="s">
        <v>27</v>
      </c>
    </row>
    <row r="510" spans="1:17" ht="16.5" customHeight="1" x14ac:dyDescent="0.25">
      <c r="A510" s="1" t="s">
        <v>28</v>
      </c>
      <c r="B510" s="1" t="s">
        <v>1051</v>
      </c>
      <c r="C510" s="1" t="s">
        <v>1052</v>
      </c>
      <c r="D510" s="44"/>
      <c r="E510" s="1" t="s">
        <v>61</v>
      </c>
      <c r="F510" s="1" t="s">
        <v>24</v>
      </c>
      <c r="G510" s="1" t="s">
        <v>24</v>
      </c>
      <c r="H510" s="26">
        <v>30</v>
      </c>
      <c r="I510" s="27" t="str">
        <f>HYPERLINK("https://doc.morningstar.com/Document/1d4cd18e60ab7f436cf04bc733d37757.msdoc?clientid=fnz&amp;key=9c0e4d166b60ffd3","TMD")</f>
        <v>TMD</v>
      </c>
      <c r="J510" t="s">
        <v>25</v>
      </c>
      <c r="K510" s="1" t="s">
        <v>26</v>
      </c>
      <c r="L510" s="1" t="s">
        <v>26</v>
      </c>
      <c r="M510" s="1" t="s">
        <v>27</v>
      </c>
      <c r="N510" s="1" t="s">
        <v>26</v>
      </c>
      <c r="O510" s="1" t="s">
        <v>26</v>
      </c>
      <c r="P510" s="1" t="s">
        <v>27</v>
      </c>
      <c r="Q510" s="1" t="s">
        <v>27</v>
      </c>
    </row>
    <row r="511" spans="1:17" ht="16.5" customHeight="1" x14ac:dyDescent="0.25">
      <c r="A511" s="1" t="s">
        <v>81</v>
      </c>
      <c r="B511" s="1" t="s">
        <v>1053</v>
      </c>
      <c r="C511" s="1" t="s">
        <v>1054</v>
      </c>
      <c r="D511" s="44"/>
      <c r="E511" s="1" t="s">
        <v>23</v>
      </c>
      <c r="F511" s="1" t="s">
        <v>24</v>
      </c>
      <c r="G511" s="1" t="s">
        <v>24</v>
      </c>
      <c r="H511" s="26">
        <v>50</v>
      </c>
      <c r="I511" s="27" t="str">
        <f>HYPERLINK("https://doc.morningstar.com/Document/1e693039afdfa4bf734ec485c208ab08.msdoc?clientid=fnz&amp;key=9c0e4d166b60ffd3","TMD")</f>
        <v>TMD</v>
      </c>
      <c r="J511" t="s">
        <v>25</v>
      </c>
      <c r="K511" s="1" t="s">
        <v>25</v>
      </c>
      <c r="L511" s="1" t="s">
        <v>25</v>
      </c>
      <c r="M511" s="1" t="s">
        <v>25</v>
      </c>
      <c r="N511" s="1" t="s">
        <v>26</v>
      </c>
      <c r="O511" s="1" t="s">
        <v>26</v>
      </c>
      <c r="P511" s="1" t="s">
        <v>26</v>
      </c>
      <c r="Q511" s="1" t="s">
        <v>27</v>
      </c>
    </row>
    <row r="512" spans="1:17" ht="16.5" customHeight="1" x14ac:dyDescent="0.25">
      <c r="A512" s="1" t="s">
        <v>31</v>
      </c>
      <c r="B512" s="1" t="s">
        <v>1055</v>
      </c>
      <c r="C512" s="1" t="s">
        <v>1056</v>
      </c>
      <c r="D512" s="44"/>
      <c r="E512" s="1" t="s">
        <v>40</v>
      </c>
      <c r="F512" s="1" t="s">
        <v>24</v>
      </c>
      <c r="G512" s="1" t="s">
        <v>24</v>
      </c>
      <c r="H512" s="26">
        <v>100</v>
      </c>
      <c r="I512" s="41" t="str">
        <f>HYPERLINK("https://doc.morningstar.com/Document/03bcddd32516121372d24dbf8774c213.msdoc?clientid=fnz&amp;key=9c0e4d166b60ffd3","TMD")</f>
        <v>TMD</v>
      </c>
      <c r="J512" t="s">
        <v>25</v>
      </c>
      <c r="K512" s="1" t="s">
        <v>25</v>
      </c>
      <c r="L512" s="1" t="s">
        <v>25</v>
      </c>
      <c r="M512" s="1" t="s">
        <v>25</v>
      </c>
      <c r="N512" s="1" t="s">
        <v>26</v>
      </c>
      <c r="O512" s="1" t="s">
        <v>26</v>
      </c>
      <c r="P512" s="1" t="s">
        <v>27</v>
      </c>
      <c r="Q512" s="1" t="s">
        <v>27</v>
      </c>
    </row>
    <row r="513" spans="1:17" ht="16.5" customHeight="1" x14ac:dyDescent="0.25">
      <c r="A513" s="1" t="s">
        <v>31</v>
      </c>
      <c r="B513" s="1" t="s">
        <v>1057</v>
      </c>
      <c r="C513" s="1" t="s">
        <v>1058</v>
      </c>
      <c r="D513" s="44"/>
      <c r="E513" s="1" t="s">
        <v>23</v>
      </c>
      <c r="F513" s="1" t="s">
        <v>24</v>
      </c>
      <c r="G513" s="1" t="s">
        <v>24</v>
      </c>
      <c r="H513" s="26">
        <v>100</v>
      </c>
      <c r="I513" s="27" t="str">
        <f>HYPERLINK("https://doc.morningstar.com/Document/469c2271045cdadd4e8ce538ccac2a48.msdoc?clientid=fnz&amp;key=9c0e4d166b60ffd3","TMD")</f>
        <v>TMD</v>
      </c>
      <c r="J513" t="s">
        <v>25</v>
      </c>
      <c r="K513" s="1" t="s">
        <v>25</v>
      </c>
      <c r="L513" s="1" t="s">
        <v>25</v>
      </c>
      <c r="M513" s="1" t="s">
        <v>25</v>
      </c>
      <c r="N513" s="1" t="s">
        <v>26</v>
      </c>
      <c r="O513" s="1" t="s">
        <v>26</v>
      </c>
      <c r="P513" s="1" t="s">
        <v>27</v>
      </c>
      <c r="Q513" s="1" t="s">
        <v>27</v>
      </c>
    </row>
    <row r="514" spans="1:17" ht="16.5" customHeight="1" x14ac:dyDescent="0.25">
      <c r="A514" s="1" t="s">
        <v>58</v>
      </c>
      <c r="B514" s="1" t="s">
        <v>1059</v>
      </c>
      <c r="C514" s="1" t="s">
        <v>1060</v>
      </c>
      <c r="D514" s="44"/>
      <c r="E514" s="1" t="s">
        <v>23</v>
      </c>
      <c r="F514" s="1" t="s">
        <v>24</v>
      </c>
      <c r="G514" s="1" t="s">
        <v>24</v>
      </c>
      <c r="H514" s="26">
        <v>100</v>
      </c>
      <c r="I514" s="41" t="str">
        <f>HYPERLINK("https://doc.morningstar.com/Document/45b017206625974032b70b568daf32e6.msdoc?clientid=fnz&amp;key=9c0e4d166b60ffd3","TMD")</f>
        <v>TMD</v>
      </c>
      <c r="J514" t="s">
        <v>25</v>
      </c>
      <c r="K514" s="1" t="s">
        <v>25</v>
      </c>
      <c r="L514" s="1" t="s">
        <v>25</v>
      </c>
      <c r="M514" s="1" t="s">
        <v>25</v>
      </c>
      <c r="N514" s="1" t="s">
        <v>26</v>
      </c>
      <c r="O514" s="1" t="s">
        <v>26</v>
      </c>
      <c r="P514" s="1" t="s">
        <v>27</v>
      </c>
      <c r="Q514" s="1" t="s">
        <v>27</v>
      </c>
    </row>
    <row r="515" spans="1:17" ht="16.5" customHeight="1" x14ac:dyDescent="0.25">
      <c r="A515" s="1" t="s">
        <v>58</v>
      </c>
      <c r="B515" s="1" t="s">
        <v>1061</v>
      </c>
      <c r="C515" s="1" t="s">
        <v>1062</v>
      </c>
      <c r="D515" s="44"/>
      <c r="E515" s="1" t="s">
        <v>23</v>
      </c>
      <c r="F515" s="1" t="s">
        <v>24</v>
      </c>
      <c r="G515" s="1" t="s">
        <v>24</v>
      </c>
      <c r="H515" s="26">
        <v>100</v>
      </c>
      <c r="I515" s="27" t="str">
        <f>HYPERLINK("https://doc.morningstar.com/Document/aed3d7ed767991484148dc4184796ea0.msdoc?clientid=fnz&amp;key=9c0e4d166b60ffd3","TMD")</f>
        <v>TMD</v>
      </c>
      <c r="J515" t="s">
        <v>25</v>
      </c>
      <c r="K515" s="1" t="s">
        <v>25</v>
      </c>
      <c r="L515" s="1" t="s">
        <v>25</v>
      </c>
      <c r="M515" s="1" t="s">
        <v>25</v>
      </c>
      <c r="N515" s="1" t="s">
        <v>26</v>
      </c>
      <c r="O515" s="1" t="s">
        <v>26</v>
      </c>
      <c r="P515" s="1" t="s">
        <v>27</v>
      </c>
      <c r="Q515" s="1" t="s">
        <v>27</v>
      </c>
    </row>
    <row r="516" spans="1:17" ht="16.5" customHeight="1" x14ac:dyDescent="0.25">
      <c r="A516" s="1" t="s">
        <v>281</v>
      </c>
      <c r="B516" s="1" t="s">
        <v>1063</v>
      </c>
      <c r="C516" s="1" t="s">
        <v>1064</v>
      </c>
      <c r="D516" s="44"/>
      <c r="E516" s="1" t="s">
        <v>40</v>
      </c>
      <c r="F516" s="1" t="s">
        <v>24</v>
      </c>
      <c r="G516" s="1" t="s">
        <v>24</v>
      </c>
      <c r="H516" s="26">
        <v>100</v>
      </c>
      <c r="I516" s="27" t="str">
        <f>HYPERLINK("https://doc.morningstar.com/Document/1ce3d4379b86e6b6d9b159ab84e13daa.msdoc?clientid=fnz&amp;key=9c0e4d166b60ffd3","TMD")</f>
        <v>TMD</v>
      </c>
      <c r="J516" t="s">
        <v>25</v>
      </c>
      <c r="K516" s="1" t="s">
        <v>25</v>
      </c>
      <c r="L516" s="1" t="s">
        <v>25</v>
      </c>
      <c r="M516" s="1" t="s">
        <v>25</v>
      </c>
      <c r="N516" s="1" t="s">
        <v>26</v>
      </c>
      <c r="O516" s="1" t="s">
        <v>27</v>
      </c>
      <c r="P516" s="1" t="s">
        <v>26</v>
      </c>
      <c r="Q516" s="1" t="s">
        <v>26</v>
      </c>
    </row>
    <row r="517" spans="1:17" ht="16.5" customHeight="1" x14ac:dyDescent="0.25">
      <c r="A517" s="1" t="s">
        <v>58</v>
      </c>
      <c r="B517" s="1" t="s">
        <v>1065</v>
      </c>
      <c r="C517" s="1" t="s">
        <v>1066</v>
      </c>
      <c r="D517" s="44"/>
      <c r="E517" s="1" t="s">
        <v>61</v>
      </c>
      <c r="F517" s="1" t="s">
        <v>24</v>
      </c>
      <c r="G517" s="1" t="s">
        <v>24</v>
      </c>
      <c r="H517" s="26">
        <v>100</v>
      </c>
      <c r="I517" s="27" t="str">
        <f>HYPERLINK("https://doc.morningstar.com/Document/67e5d7df7e3a9f015af3b8dba1141477.msdoc?clientid=fnz&amp;key=9c0e4d166b60ffd3","TMD")</f>
        <v>TMD</v>
      </c>
      <c r="J517" t="s">
        <v>25</v>
      </c>
      <c r="K517" s="1" t="s">
        <v>25</v>
      </c>
      <c r="L517" s="1" t="s">
        <v>25</v>
      </c>
      <c r="M517" s="1" t="s">
        <v>25</v>
      </c>
      <c r="N517" s="1" t="s">
        <v>26</v>
      </c>
      <c r="O517" s="1" t="s">
        <v>26</v>
      </c>
      <c r="P517" s="1" t="s">
        <v>27</v>
      </c>
      <c r="Q517" s="1" t="s">
        <v>27</v>
      </c>
    </row>
    <row r="518" spans="1:17" ht="16.5" customHeight="1" x14ac:dyDescent="0.25">
      <c r="A518" s="1" t="s">
        <v>31</v>
      </c>
      <c r="B518" s="1" t="s">
        <v>1067</v>
      </c>
      <c r="C518" s="1" t="s">
        <v>1068</v>
      </c>
      <c r="D518" s="44"/>
      <c r="E518" s="1" t="s">
        <v>40</v>
      </c>
      <c r="F518" s="1" t="s">
        <v>24</v>
      </c>
      <c r="G518" s="1" t="s">
        <v>24</v>
      </c>
      <c r="H518" s="26">
        <v>100</v>
      </c>
      <c r="I518" s="27" t="str">
        <f>HYPERLINK("https://doc.morningstar.com/Document/98fc7f8f21263568c321ee938eab3db5.msdoc?clientid=fnz&amp;key=9c0e4d166b60ffd3","TMD")</f>
        <v>TMD</v>
      </c>
      <c r="J518" t="s">
        <v>25</v>
      </c>
      <c r="K518" s="1" t="s">
        <v>25</v>
      </c>
      <c r="L518" s="1" t="s">
        <v>25</v>
      </c>
      <c r="M518" s="1" t="s">
        <v>25</v>
      </c>
      <c r="N518" s="1" t="s">
        <v>26</v>
      </c>
      <c r="O518" s="1" t="s">
        <v>26</v>
      </c>
      <c r="P518" s="1" t="s">
        <v>27</v>
      </c>
      <c r="Q518" s="1" t="s">
        <v>27</v>
      </c>
    </row>
    <row r="519" spans="1:17" ht="16.5" customHeight="1" x14ac:dyDescent="0.25">
      <c r="A519" s="1" t="s">
        <v>34</v>
      </c>
      <c r="B519" s="1" t="s">
        <v>1069</v>
      </c>
      <c r="C519" s="1" t="s">
        <v>1070</v>
      </c>
      <c r="D519" s="44"/>
      <c r="E519" s="1" t="s">
        <v>23</v>
      </c>
      <c r="F519" s="1" t="s">
        <v>24</v>
      </c>
      <c r="G519" s="1" t="s">
        <v>24</v>
      </c>
      <c r="H519" s="26">
        <v>30</v>
      </c>
      <c r="I519" s="27" t="str">
        <f>HYPERLINK("https://doc.morningstar.com/Document/84458fecfc99d3a588c9565b016d862c.msdoc?clientid=fnz&amp;key=9c0e4d166b60ffd3","TMD")</f>
        <v>TMD</v>
      </c>
      <c r="J519" t="s">
        <v>25</v>
      </c>
      <c r="K519" s="1" t="s">
        <v>25</v>
      </c>
      <c r="L519" s="1" t="s">
        <v>25</v>
      </c>
      <c r="M519" s="1" t="s">
        <v>25</v>
      </c>
      <c r="N519" s="1" t="s">
        <v>26</v>
      </c>
      <c r="O519" s="1" t="s">
        <v>26</v>
      </c>
      <c r="P519" s="1" t="s">
        <v>27</v>
      </c>
      <c r="Q519" s="1" t="s">
        <v>27</v>
      </c>
    </row>
    <row r="520" spans="1:17" ht="16.5" customHeight="1" x14ac:dyDescent="0.25">
      <c r="A520" s="1" t="s">
        <v>31</v>
      </c>
      <c r="B520" s="1" t="s">
        <v>1071</v>
      </c>
      <c r="C520" s="1" t="s">
        <v>1072</v>
      </c>
      <c r="D520" s="44"/>
      <c r="E520" s="1" t="s">
        <v>23</v>
      </c>
      <c r="F520" s="1" t="s">
        <v>24</v>
      </c>
      <c r="G520" s="1" t="s">
        <v>24</v>
      </c>
      <c r="H520" s="26">
        <v>100</v>
      </c>
      <c r="I520" s="27" t="str">
        <f>HYPERLINK("https://doc.morningstar.com/Document/3f1a24066e11712ba051848c9381a86e.msdoc?clientid=fnz&amp;key=9c0e4d166b60ffd3","TMD")</f>
        <v>TMD</v>
      </c>
      <c r="J520" t="s">
        <v>25</v>
      </c>
      <c r="K520" s="1" t="s">
        <v>25</v>
      </c>
      <c r="L520" s="1" t="s">
        <v>25</v>
      </c>
      <c r="M520" s="1" t="s">
        <v>25</v>
      </c>
      <c r="N520" s="1" t="s">
        <v>26</v>
      </c>
      <c r="O520" s="1" t="s">
        <v>26</v>
      </c>
      <c r="P520" s="1" t="s">
        <v>27</v>
      </c>
      <c r="Q520" s="1" t="s">
        <v>27</v>
      </c>
    </row>
    <row r="521" spans="1:17" ht="16.5" customHeight="1" x14ac:dyDescent="0.25">
      <c r="A521" s="1" t="s">
        <v>109</v>
      </c>
      <c r="B521" s="1" t="s">
        <v>1073</v>
      </c>
      <c r="C521" s="1" t="s">
        <v>1074</v>
      </c>
      <c r="D521" s="44"/>
      <c r="E521" s="1" t="s">
        <v>23</v>
      </c>
      <c r="F521" s="1" t="s">
        <v>24</v>
      </c>
      <c r="G521" s="1" t="s">
        <v>24</v>
      </c>
      <c r="H521" s="26">
        <v>100</v>
      </c>
      <c r="I521" s="27" t="str">
        <f>HYPERLINK("https://doc.morningstar.com/Document/12388f86afe0bacf289da39c6dca6746.msdoc?clientid=fnz&amp;key=9c0e4d166b60ffd3","TMD")</f>
        <v>TMD</v>
      </c>
      <c r="J521" t="s">
        <v>25</v>
      </c>
      <c r="K521" s="1" t="s">
        <v>25</v>
      </c>
      <c r="L521" s="1" t="s">
        <v>25</v>
      </c>
      <c r="M521" s="1" t="s">
        <v>25</v>
      </c>
      <c r="N521" s="1" t="s">
        <v>26</v>
      </c>
      <c r="O521" s="1" t="s">
        <v>26</v>
      </c>
      <c r="P521" s="1" t="s">
        <v>27</v>
      </c>
      <c r="Q521" s="1" t="s">
        <v>27</v>
      </c>
    </row>
    <row r="522" spans="1:17" ht="16.5" customHeight="1" x14ac:dyDescent="0.25">
      <c r="A522" s="1" t="s">
        <v>20</v>
      </c>
      <c r="B522" s="1" t="s">
        <v>1075</v>
      </c>
      <c r="C522" s="1" t="s">
        <v>1076</v>
      </c>
      <c r="D522" s="44"/>
      <c r="E522" s="1" t="s">
        <v>23</v>
      </c>
      <c r="F522" s="1" t="s">
        <v>24</v>
      </c>
      <c r="G522" s="1" t="s">
        <v>24</v>
      </c>
      <c r="H522" s="26">
        <v>30</v>
      </c>
      <c r="I522" s="27" t="str">
        <f>HYPERLINK("https://doc.morningstar.com/Document/eee1186bf3f4b925e2d55880e2df9c3c.msdoc?clientid=fnz&amp;key=9c0e4d166b60ffd3","TMD")</f>
        <v>TMD</v>
      </c>
      <c r="J522" t="s">
        <v>25</v>
      </c>
      <c r="K522" s="1" t="s">
        <v>25</v>
      </c>
      <c r="L522" s="1" t="s">
        <v>25</v>
      </c>
      <c r="M522" s="1" t="s">
        <v>25</v>
      </c>
      <c r="N522" s="1" t="s">
        <v>26</v>
      </c>
      <c r="O522" s="1" t="s">
        <v>26</v>
      </c>
      <c r="P522" s="1" t="s">
        <v>26</v>
      </c>
      <c r="Q522" s="1" t="s">
        <v>27</v>
      </c>
    </row>
    <row r="523" spans="1:17" ht="16.5" customHeight="1" x14ac:dyDescent="0.25">
      <c r="A523" s="1" t="s">
        <v>28</v>
      </c>
      <c r="B523" s="1" t="s">
        <v>1077</v>
      </c>
      <c r="C523" s="1" t="s">
        <v>1078</v>
      </c>
      <c r="D523" s="44"/>
      <c r="E523" s="1" t="s">
        <v>23</v>
      </c>
      <c r="F523" s="1" t="s">
        <v>24</v>
      </c>
      <c r="G523" s="1" t="s">
        <v>24</v>
      </c>
      <c r="H523" s="26">
        <v>30</v>
      </c>
      <c r="I523" s="27" t="str">
        <f>HYPERLINK("https://doc.morningstar.com/Document/fea210ff23ebaa4142fe23f41e2b00bf.msdoc?clientid=fnz&amp;key=9c0e4d166b60ffd3","TMD")</f>
        <v>TMD</v>
      </c>
      <c r="J523" t="s">
        <v>25</v>
      </c>
      <c r="K523" s="1" t="s">
        <v>25</v>
      </c>
      <c r="L523" s="1" t="s">
        <v>25</v>
      </c>
      <c r="M523" s="1" t="s">
        <v>25</v>
      </c>
      <c r="N523" s="1" t="s">
        <v>26</v>
      </c>
      <c r="O523" s="1" t="s">
        <v>26</v>
      </c>
      <c r="P523" s="1" t="s">
        <v>27</v>
      </c>
      <c r="Q523" s="1" t="s">
        <v>27</v>
      </c>
    </row>
    <row r="524" spans="1:17" ht="16.5" customHeight="1" x14ac:dyDescent="0.25">
      <c r="A524" s="1" t="s">
        <v>65</v>
      </c>
      <c r="B524" s="1" t="s">
        <v>1079</v>
      </c>
      <c r="C524" s="1" t="s">
        <v>1080</v>
      </c>
      <c r="D524" s="44"/>
      <c r="E524" s="1" t="s">
        <v>40</v>
      </c>
      <c r="F524" s="1" t="s">
        <v>24</v>
      </c>
      <c r="G524" s="1" t="s">
        <v>24</v>
      </c>
      <c r="H524" s="26">
        <v>100</v>
      </c>
      <c r="I524" s="27" t="str">
        <f>HYPERLINK("https://doc.morningstar.com/Document/84458fecfc99d3a53478905a9a90eb54.msdoc?clientid=fnz&amp;key=9c0e4d166b60ffd3","TMD")</f>
        <v>TMD</v>
      </c>
      <c r="J524" t="s">
        <v>25</v>
      </c>
      <c r="K524" s="1" t="s">
        <v>25</v>
      </c>
      <c r="L524" s="1" t="s">
        <v>25</v>
      </c>
      <c r="M524" s="1" t="s">
        <v>25</v>
      </c>
      <c r="N524" s="1" t="s">
        <v>26</v>
      </c>
      <c r="O524" s="1" t="s">
        <v>27</v>
      </c>
      <c r="P524" s="1" t="s">
        <v>26</v>
      </c>
      <c r="Q524" s="1" t="s">
        <v>26</v>
      </c>
    </row>
    <row r="525" spans="1:17" ht="16.5" customHeight="1" x14ac:dyDescent="0.25">
      <c r="A525" s="1" t="s">
        <v>31</v>
      </c>
      <c r="B525" s="1" t="s">
        <v>1081</v>
      </c>
      <c r="C525" s="1" t="s">
        <v>1082</v>
      </c>
      <c r="D525" s="44"/>
      <c r="E525" s="1" t="s">
        <v>23</v>
      </c>
      <c r="F525" s="1" t="s">
        <v>24</v>
      </c>
      <c r="G525" s="1" t="s">
        <v>24</v>
      </c>
      <c r="H525" s="26">
        <v>100</v>
      </c>
      <c r="I525" s="27" t="str">
        <f>HYPERLINK("https://doc.morningstar.com/Document/fb7dabc56f9cbf933e76f371d95fefc4.msdoc?clientid=fnz&amp;key=9c0e4d166b60ffd3","TMD")</f>
        <v>TMD</v>
      </c>
      <c r="J525" t="s">
        <v>25</v>
      </c>
      <c r="K525" s="1" t="s">
        <v>25</v>
      </c>
      <c r="L525" s="1" t="s">
        <v>25</v>
      </c>
      <c r="M525" s="1" t="s">
        <v>25</v>
      </c>
      <c r="N525" s="1" t="s">
        <v>26</v>
      </c>
      <c r="O525" s="1" t="s">
        <v>26</v>
      </c>
      <c r="P525" s="1" t="s">
        <v>27</v>
      </c>
      <c r="Q525" s="1" t="s">
        <v>27</v>
      </c>
    </row>
    <row r="526" spans="1:17" ht="16.5" customHeight="1" x14ac:dyDescent="0.25">
      <c r="A526" s="1" t="s">
        <v>76</v>
      </c>
      <c r="B526" s="1" t="s">
        <v>1083</v>
      </c>
      <c r="C526" s="1" t="s">
        <v>1084</v>
      </c>
      <c r="D526" s="44"/>
      <c r="E526" s="1" t="s">
        <v>40</v>
      </c>
      <c r="F526" s="1" t="s">
        <v>24</v>
      </c>
      <c r="G526" s="1" t="s">
        <v>24</v>
      </c>
      <c r="H526" s="26">
        <v>100</v>
      </c>
      <c r="I526" s="27" t="str">
        <f>HYPERLINK("https://doc.morningstar.com/Document/59e95b89091d67d3598e27ce0ba6b0be.msdoc?clientid=fnz&amp;key=9c0e4d166b60ffd3","TMD")</f>
        <v>TMD</v>
      </c>
      <c r="J526" t="s">
        <v>25</v>
      </c>
      <c r="K526" s="1" t="s">
        <v>25</v>
      </c>
      <c r="L526" s="1" t="s">
        <v>25</v>
      </c>
      <c r="M526" s="1" t="s">
        <v>25</v>
      </c>
      <c r="N526" s="1" t="s">
        <v>26</v>
      </c>
      <c r="O526" s="1" t="s">
        <v>26</v>
      </c>
      <c r="P526" s="1" t="s">
        <v>27</v>
      </c>
      <c r="Q526" s="1" t="s">
        <v>26</v>
      </c>
    </row>
    <row r="527" spans="1:17" ht="16.5" customHeight="1" x14ac:dyDescent="0.25">
      <c r="A527" s="1" t="s">
        <v>31</v>
      </c>
      <c r="B527" s="1" t="s">
        <v>1085</v>
      </c>
      <c r="C527" s="1" t="s">
        <v>1086</v>
      </c>
      <c r="D527" s="44"/>
      <c r="E527" s="1" t="s">
        <v>23</v>
      </c>
      <c r="F527" s="1" t="s">
        <v>24</v>
      </c>
      <c r="G527" s="1" t="s">
        <v>24</v>
      </c>
      <c r="H527" s="26">
        <v>100</v>
      </c>
      <c r="I527" s="27" t="str">
        <f>HYPERLINK("https://doc.morningstar.com/Document/87b7227d86fca7f14b3358432da3ce2f.msdoc?clientid=fnz&amp;key=9c0e4d166b60ffd3","TMD")</f>
        <v>TMD</v>
      </c>
      <c r="J527" t="s">
        <v>25</v>
      </c>
      <c r="K527" s="1" t="s">
        <v>25</v>
      </c>
      <c r="L527" s="1" t="s">
        <v>25</v>
      </c>
      <c r="M527" s="1" t="s">
        <v>25</v>
      </c>
      <c r="N527" s="1" t="s">
        <v>26</v>
      </c>
      <c r="O527" s="1" t="s">
        <v>26</v>
      </c>
      <c r="P527" s="1" t="s">
        <v>27</v>
      </c>
      <c r="Q527" s="1" t="s">
        <v>27</v>
      </c>
    </row>
    <row r="528" spans="1:17" ht="16.5" customHeight="1" x14ac:dyDescent="0.25">
      <c r="A528" s="1" t="s">
        <v>281</v>
      </c>
      <c r="B528" s="1" t="s">
        <v>1087</v>
      </c>
      <c r="C528" s="1" t="s">
        <v>1088</v>
      </c>
      <c r="D528" s="44"/>
      <c r="E528" s="1" t="s">
        <v>40</v>
      </c>
      <c r="F528" s="1" t="s">
        <v>24</v>
      </c>
      <c r="G528" s="1" t="s">
        <v>24</v>
      </c>
      <c r="H528" s="26">
        <v>100</v>
      </c>
      <c r="I528" s="27" t="str">
        <f>HYPERLINK("https://doc.morningstar.com/Document/dd68ce09ff290506813800e279e1c71e.msdoc?clientid=fnz&amp;key=9c0e4d166b60ffd3","TMD")</f>
        <v>TMD</v>
      </c>
      <c r="J528" t="s">
        <v>25</v>
      </c>
      <c r="K528" s="1" t="s">
        <v>25</v>
      </c>
      <c r="L528" s="1" t="s">
        <v>25</v>
      </c>
      <c r="M528" s="1" t="s">
        <v>25</v>
      </c>
      <c r="N528" s="1" t="s">
        <v>26</v>
      </c>
      <c r="O528" s="1" t="s">
        <v>27</v>
      </c>
      <c r="P528" s="1" t="s">
        <v>26</v>
      </c>
      <c r="Q528" s="1" t="s">
        <v>26</v>
      </c>
    </row>
    <row r="529" spans="1:17" ht="16.5" customHeight="1" x14ac:dyDescent="0.25">
      <c r="A529" s="1" t="s">
        <v>34</v>
      </c>
      <c r="B529" s="1" t="s">
        <v>1089</v>
      </c>
      <c r="C529" s="1" t="s">
        <v>1090</v>
      </c>
      <c r="D529" s="44"/>
      <c r="E529" s="1" t="s">
        <v>23</v>
      </c>
      <c r="F529" s="1" t="s">
        <v>24</v>
      </c>
      <c r="G529" s="1" t="s">
        <v>24</v>
      </c>
      <c r="H529" s="26">
        <v>30</v>
      </c>
      <c r="I529" s="27" t="str">
        <f>HYPERLINK("https://doc.morningstar.com/Document/4d2ddf77978aceeaabcefaf502635b01.msdoc?clientid=fnz&amp;key=9c0e4d166b60ffd3","TMD")</f>
        <v>TMD</v>
      </c>
      <c r="J529" t="s">
        <v>25</v>
      </c>
      <c r="K529" s="1" t="s">
        <v>25</v>
      </c>
      <c r="L529" s="1" t="s">
        <v>25</v>
      </c>
      <c r="M529" s="1" t="s">
        <v>25</v>
      </c>
      <c r="N529" s="1" t="s">
        <v>26</v>
      </c>
      <c r="O529" s="1" t="s">
        <v>26</v>
      </c>
      <c r="P529" s="1" t="s">
        <v>27</v>
      </c>
      <c r="Q529" s="1" t="s">
        <v>27</v>
      </c>
    </row>
    <row r="530" spans="1:17" ht="16.5" customHeight="1" x14ac:dyDescent="0.25">
      <c r="A530" s="1" t="s">
        <v>274</v>
      </c>
      <c r="B530" s="1" t="s">
        <v>1091</v>
      </c>
      <c r="C530" s="1" t="s">
        <v>1092</v>
      </c>
      <c r="D530" s="44"/>
      <c r="E530" s="1" t="s">
        <v>40</v>
      </c>
      <c r="F530" s="1" t="s">
        <v>24</v>
      </c>
      <c r="G530" s="1" t="s">
        <v>24</v>
      </c>
      <c r="H530" s="26">
        <v>100</v>
      </c>
      <c r="I530" s="27" t="str">
        <f>HYPERLINK("https://doc.morningstar.com/Document/28b8cc3b9db9e9f05a0ef47337866cec.msdoc?clientid=fnz&amp;key=9c0e4d166b60ffd3","TMD")</f>
        <v>TMD</v>
      </c>
      <c r="J530" t="s">
        <v>25</v>
      </c>
      <c r="K530" s="1" t="s">
        <v>25</v>
      </c>
      <c r="L530" s="1" t="s">
        <v>25</v>
      </c>
      <c r="M530" s="1" t="s">
        <v>25</v>
      </c>
      <c r="N530" s="1" t="s">
        <v>26</v>
      </c>
      <c r="O530" s="1" t="s">
        <v>27</v>
      </c>
      <c r="P530" s="1" t="s">
        <v>27</v>
      </c>
      <c r="Q530" s="1" t="s">
        <v>26</v>
      </c>
    </row>
    <row r="531" spans="1:17" ht="16.5" customHeight="1" x14ac:dyDescent="0.25">
      <c r="A531" s="1" t="s">
        <v>84</v>
      </c>
      <c r="B531" s="1" t="s">
        <v>1093</v>
      </c>
      <c r="C531" s="1" t="s">
        <v>1094</v>
      </c>
      <c r="D531" s="44"/>
      <c r="E531" s="1" t="s">
        <v>40</v>
      </c>
      <c r="F531" s="1" t="s">
        <v>24</v>
      </c>
      <c r="G531" s="1" t="s">
        <v>24</v>
      </c>
      <c r="H531" s="26">
        <v>100</v>
      </c>
      <c r="I531" s="27" t="str">
        <f>HYPERLINK("https://doc.morningstar.com/Document/d5429b15b20a8d27d953c289b256304f.msdoc?clientid=fnz&amp;key=9c0e4d166b60ffd3","TMD")</f>
        <v>TMD</v>
      </c>
      <c r="J531" t="s">
        <v>25</v>
      </c>
      <c r="K531" s="1" t="s">
        <v>25</v>
      </c>
      <c r="L531" s="1" t="s">
        <v>25</v>
      </c>
      <c r="M531" s="1" t="s">
        <v>25</v>
      </c>
      <c r="N531" s="1" t="s">
        <v>27</v>
      </c>
      <c r="O531" s="1" t="s">
        <v>27</v>
      </c>
      <c r="P531" s="1" t="s">
        <v>26</v>
      </c>
      <c r="Q531" s="1" t="s">
        <v>26</v>
      </c>
    </row>
    <row r="532" spans="1:17" ht="16.5" customHeight="1" x14ac:dyDescent="0.25">
      <c r="A532" s="1" t="s">
        <v>141</v>
      </c>
      <c r="B532" s="1" t="s">
        <v>1095</v>
      </c>
      <c r="C532" s="1" t="s">
        <v>1096</v>
      </c>
      <c r="D532" s="44"/>
      <c r="E532" s="1" t="s">
        <v>23</v>
      </c>
      <c r="F532" s="1" t="s">
        <v>24</v>
      </c>
      <c r="G532" s="1" t="s">
        <v>24</v>
      </c>
      <c r="H532" s="26">
        <v>20</v>
      </c>
      <c r="I532" s="27" t="str">
        <f>HYPERLINK("https://doc.morningstar.com/Document/d5429b15b20a8d2734e871b7ac53502e.msdoc?clientid=fnz&amp;key=9c0e4d166b60ffd3","TMD")</f>
        <v>TMD</v>
      </c>
      <c r="J532" t="s">
        <v>25</v>
      </c>
      <c r="K532" s="1" t="s">
        <v>25</v>
      </c>
      <c r="L532" s="1" t="s">
        <v>25</v>
      </c>
      <c r="M532" s="1" t="s">
        <v>25</v>
      </c>
      <c r="N532" s="1" t="s">
        <v>26</v>
      </c>
      <c r="O532" s="1" t="s">
        <v>26</v>
      </c>
      <c r="P532" s="1" t="s">
        <v>27</v>
      </c>
      <c r="Q532" s="1" t="s">
        <v>27</v>
      </c>
    </row>
    <row r="533" spans="1:17" ht="16.5" customHeight="1" x14ac:dyDescent="0.25">
      <c r="A533" s="1" t="s">
        <v>58</v>
      </c>
      <c r="B533" s="1" t="s">
        <v>1097</v>
      </c>
      <c r="C533" s="1" t="s">
        <v>1098</v>
      </c>
      <c r="D533" s="44"/>
      <c r="E533" s="1" t="s">
        <v>61</v>
      </c>
      <c r="F533" s="1" t="s">
        <v>24</v>
      </c>
      <c r="G533" s="1" t="s">
        <v>24</v>
      </c>
      <c r="H533" s="26">
        <v>100</v>
      </c>
      <c r="I533" s="27" t="str">
        <f>HYPERLINK("https://doc.morningstar.com/Document/f9e3f9c6a3a157098962f2fa2972b891.msdoc?clientid=fnz&amp;key=9c0e4d166b60ffd3","TMD")</f>
        <v>TMD</v>
      </c>
      <c r="J533" t="s">
        <v>25</v>
      </c>
      <c r="K533" s="1" t="s">
        <v>25</v>
      </c>
      <c r="L533" s="1" t="s">
        <v>25</v>
      </c>
      <c r="M533" s="1" t="s">
        <v>25</v>
      </c>
      <c r="N533" s="1" t="s">
        <v>26</v>
      </c>
      <c r="O533" s="1" t="s">
        <v>26</v>
      </c>
      <c r="P533" s="1" t="s">
        <v>27</v>
      </c>
      <c r="Q533" s="1" t="s">
        <v>26</v>
      </c>
    </row>
    <row r="534" spans="1:17" ht="16.5" customHeight="1" x14ac:dyDescent="0.25">
      <c r="A534" s="1" t="s">
        <v>52</v>
      </c>
      <c r="B534" s="1" t="s">
        <v>1099</v>
      </c>
      <c r="C534" s="1" t="s">
        <v>1100</v>
      </c>
      <c r="D534" s="44"/>
      <c r="E534" s="1" t="s">
        <v>40</v>
      </c>
      <c r="F534" s="1" t="s">
        <v>24</v>
      </c>
      <c r="G534" s="1" t="s">
        <v>24</v>
      </c>
      <c r="H534" s="26">
        <v>100</v>
      </c>
      <c r="I534" s="27" t="str">
        <f>HYPERLINK("https://doc.morningstar.com/Document/687ec538b3904efa2f082ea0a02aaa00.msdoc?clientid=fnz&amp;key=9c0e4d166b60ffd3","TMD")</f>
        <v>TMD</v>
      </c>
      <c r="J534" t="s">
        <v>25</v>
      </c>
      <c r="K534" s="1" t="s">
        <v>25</v>
      </c>
      <c r="L534" s="1" t="s">
        <v>25</v>
      </c>
      <c r="M534" s="1" t="s">
        <v>25</v>
      </c>
      <c r="N534" s="1" t="s">
        <v>26</v>
      </c>
      <c r="O534" s="1" t="s">
        <v>27</v>
      </c>
      <c r="P534" s="1" t="s">
        <v>26</v>
      </c>
      <c r="Q534" s="1" t="s">
        <v>26</v>
      </c>
    </row>
    <row r="535" spans="1:17" ht="16.5" customHeight="1" x14ac:dyDescent="0.25">
      <c r="A535" s="1" t="s">
        <v>274</v>
      </c>
      <c r="B535" s="1" t="s">
        <v>1101</v>
      </c>
      <c r="C535" s="1" t="s">
        <v>1102</v>
      </c>
      <c r="D535" s="44"/>
      <c r="E535" s="1" t="s">
        <v>23</v>
      </c>
      <c r="F535" s="1" t="s">
        <v>24</v>
      </c>
      <c r="G535" s="1" t="s">
        <v>24</v>
      </c>
      <c r="H535" s="26">
        <v>100</v>
      </c>
      <c r="I535" s="27" t="str">
        <f>HYPERLINK("https://doc.morningstar.com/Document/3965cba7c1b65dff65df224a1cafc113.msdoc?clientid=fnz&amp;key=9c0e4d166b60ffd3","TMD")</f>
        <v>TMD</v>
      </c>
      <c r="J535" t="s">
        <v>25</v>
      </c>
      <c r="K535" s="1" t="s">
        <v>25</v>
      </c>
      <c r="L535" s="1" t="s">
        <v>25</v>
      </c>
      <c r="M535" s="1" t="s">
        <v>25</v>
      </c>
      <c r="N535" s="1" t="s">
        <v>26</v>
      </c>
      <c r="O535" s="1" t="s">
        <v>26</v>
      </c>
      <c r="P535" s="1" t="s">
        <v>27</v>
      </c>
      <c r="Q535" s="1" t="s">
        <v>26</v>
      </c>
    </row>
    <row r="536" spans="1:17" ht="16.5" customHeight="1" x14ac:dyDescent="0.25">
      <c r="A536" s="1" t="s">
        <v>58</v>
      </c>
      <c r="B536" s="1" t="s">
        <v>1103</v>
      </c>
      <c r="C536" s="1" t="s">
        <v>1104</v>
      </c>
      <c r="D536" s="44"/>
      <c r="E536" s="1" t="s">
        <v>23</v>
      </c>
      <c r="F536" s="1" t="s">
        <v>24</v>
      </c>
      <c r="G536" s="1" t="s">
        <v>24</v>
      </c>
      <c r="H536" s="26">
        <v>100</v>
      </c>
      <c r="I536" s="27" t="str">
        <f>HYPERLINK("https://doc.morningstar.com/Document/f2e82adb28eb14d135b9e797e8f1a66d.msdoc?clientid=fnz&amp;key=9c0e4d166b60ffd3","TMD")</f>
        <v>TMD</v>
      </c>
      <c r="J536" t="s">
        <v>25</v>
      </c>
      <c r="K536" s="1" t="s">
        <v>25</v>
      </c>
      <c r="L536" s="1" t="s">
        <v>25</v>
      </c>
      <c r="M536" s="1" t="s">
        <v>25</v>
      </c>
      <c r="N536" s="1" t="s">
        <v>26</v>
      </c>
      <c r="O536" s="1" t="s">
        <v>26</v>
      </c>
      <c r="P536" s="1" t="s">
        <v>27</v>
      </c>
      <c r="Q536" s="1" t="s">
        <v>27</v>
      </c>
    </row>
    <row r="537" spans="1:17" ht="16.5" customHeight="1" x14ac:dyDescent="0.25">
      <c r="A537" s="1" t="s">
        <v>141</v>
      </c>
      <c r="B537" s="1" t="s">
        <v>1105</v>
      </c>
      <c r="C537" s="1" t="s">
        <v>1106</v>
      </c>
      <c r="D537" s="44"/>
      <c r="E537" s="1" t="s">
        <v>61</v>
      </c>
      <c r="F537" s="1" t="s">
        <v>24</v>
      </c>
      <c r="G537" s="1" t="s">
        <v>24</v>
      </c>
      <c r="H537" s="26">
        <v>20</v>
      </c>
      <c r="I537" s="27" t="str">
        <f>HYPERLINK("https://doc.morningstar.com/Document/342d21288c9b532dddefb4e84566f1ff.msdoc?clientid=fnz&amp;key=9c0e4d166b60ffd3","TMD")</f>
        <v>TMD</v>
      </c>
      <c r="J537" t="s">
        <v>25</v>
      </c>
      <c r="K537" s="1" t="s">
        <v>25</v>
      </c>
      <c r="L537" s="1" t="s">
        <v>25</v>
      </c>
      <c r="M537" s="1" t="s">
        <v>25</v>
      </c>
      <c r="N537" s="1" t="s">
        <v>26</v>
      </c>
      <c r="O537" s="1" t="s">
        <v>26</v>
      </c>
      <c r="P537" s="1" t="s">
        <v>26</v>
      </c>
      <c r="Q537" s="1" t="s">
        <v>27</v>
      </c>
    </row>
    <row r="538" spans="1:17" ht="16.5" customHeight="1" x14ac:dyDescent="0.25">
      <c r="A538" s="1" t="s">
        <v>274</v>
      </c>
      <c r="B538" s="1" t="s">
        <v>1107</v>
      </c>
      <c r="C538" s="1" t="s">
        <v>1108</v>
      </c>
      <c r="D538" s="44"/>
      <c r="E538" s="1" t="s">
        <v>40</v>
      </c>
      <c r="F538" s="1" t="s">
        <v>24</v>
      </c>
      <c r="G538" s="1" t="s">
        <v>24</v>
      </c>
      <c r="H538" s="26">
        <v>100</v>
      </c>
      <c r="I538" s="27" t="str">
        <f>HYPERLINK("https://doc.morningstar.com/Document/6fe36cc10a2b54ab53818963bda5b0c0.msdoc?clientid=fnz&amp;key=9c0e4d166b60ffd3","TMD")</f>
        <v>TMD</v>
      </c>
      <c r="J538" t="s">
        <v>25</v>
      </c>
      <c r="K538" s="1" t="s">
        <v>25</v>
      </c>
      <c r="L538" s="1" t="s">
        <v>25</v>
      </c>
      <c r="M538" s="1" t="s">
        <v>25</v>
      </c>
      <c r="N538" s="1" t="s">
        <v>26</v>
      </c>
      <c r="O538" s="1" t="s">
        <v>27</v>
      </c>
      <c r="P538" s="1" t="s">
        <v>27</v>
      </c>
      <c r="Q538" s="1" t="s">
        <v>26</v>
      </c>
    </row>
    <row r="539" spans="1:17" ht="16.5" customHeight="1" x14ac:dyDescent="0.25">
      <c r="A539" s="1" t="s">
        <v>84</v>
      </c>
      <c r="B539" s="1" t="s">
        <v>1109</v>
      </c>
      <c r="C539" s="1" t="s">
        <v>1110</v>
      </c>
      <c r="D539" s="44"/>
      <c r="E539" s="1" t="s">
        <v>40</v>
      </c>
      <c r="F539" s="1" t="s">
        <v>24</v>
      </c>
      <c r="G539" s="1" t="s">
        <v>24</v>
      </c>
      <c r="H539" s="26">
        <v>100</v>
      </c>
      <c r="I539" s="27" t="str">
        <f>HYPERLINK("https://doc.morningstar.com/Document/dd68ce09ff2905063831ae5af7c4ac9b.msdoc?clientid=fnz&amp;key=9c0e4d166b60ffd3","TMD")</f>
        <v>TMD</v>
      </c>
      <c r="J539" t="s">
        <v>25</v>
      </c>
      <c r="K539" s="1" t="s">
        <v>25</v>
      </c>
      <c r="L539" s="1" t="s">
        <v>25</v>
      </c>
      <c r="M539" s="1" t="s">
        <v>25</v>
      </c>
      <c r="N539" s="1" t="s">
        <v>26</v>
      </c>
      <c r="O539" s="1" t="s">
        <v>27</v>
      </c>
      <c r="P539" s="1" t="s">
        <v>26</v>
      </c>
      <c r="Q539" s="1" t="s">
        <v>26</v>
      </c>
    </row>
    <row r="540" spans="1:17" ht="16.5" customHeight="1" x14ac:dyDescent="0.25">
      <c r="A540" s="1" t="s">
        <v>58</v>
      </c>
      <c r="B540" s="1" t="s">
        <v>1111</v>
      </c>
      <c r="C540" s="1" t="s">
        <v>1112</v>
      </c>
      <c r="D540" s="44"/>
      <c r="E540" s="1" t="s">
        <v>61</v>
      </c>
      <c r="F540" s="1" t="s">
        <v>24</v>
      </c>
      <c r="G540" s="1" t="s">
        <v>24</v>
      </c>
      <c r="H540" s="26">
        <v>100</v>
      </c>
      <c r="I540" s="27" t="str">
        <f>HYPERLINK("https://doc.morningstar.com/Document/52d5dc913fcf9c0c3fde9134c124e139.msdoc?clientid=fnz&amp;key=9c0e4d166b60ffd3","TMD")</f>
        <v>TMD</v>
      </c>
      <c r="J540" t="s">
        <v>25</v>
      </c>
      <c r="K540" s="1" t="s">
        <v>25</v>
      </c>
      <c r="L540" s="1" t="s">
        <v>25</v>
      </c>
      <c r="M540" s="1" t="s">
        <v>25</v>
      </c>
      <c r="N540" s="1" t="s">
        <v>26</v>
      </c>
      <c r="O540" s="1" t="s">
        <v>26</v>
      </c>
      <c r="P540" s="1" t="s">
        <v>27</v>
      </c>
      <c r="Q540" s="1" t="s">
        <v>26</v>
      </c>
    </row>
    <row r="541" spans="1:17" ht="16.5" customHeight="1" x14ac:dyDescent="0.25">
      <c r="A541" s="1" t="s">
        <v>58</v>
      </c>
      <c r="B541" s="1" t="s">
        <v>1113</v>
      </c>
      <c r="C541" s="1" t="s">
        <v>1114</v>
      </c>
      <c r="D541" s="44"/>
      <c r="E541" s="1" t="s">
        <v>61</v>
      </c>
      <c r="F541" s="1" t="s">
        <v>24</v>
      </c>
      <c r="G541" s="1" t="s">
        <v>24</v>
      </c>
      <c r="H541" s="26">
        <v>100</v>
      </c>
      <c r="I541" s="27" t="str">
        <f>HYPERLINK("https://doc.morningstar.com/Document/7604ee97a50c3a90d92fa579019c3160.msdoc?clientid=fnz&amp;key=9c0e4d166b60ffd3","TMD")</f>
        <v>TMD</v>
      </c>
      <c r="J541" t="s">
        <v>25</v>
      </c>
      <c r="K541" s="1" t="s">
        <v>25</v>
      </c>
      <c r="L541" s="1" t="s">
        <v>25</v>
      </c>
      <c r="M541" s="1" t="s">
        <v>25</v>
      </c>
      <c r="N541" s="1" t="s">
        <v>26</v>
      </c>
      <c r="O541" s="1" t="s">
        <v>26</v>
      </c>
      <c r="P541" s="1" t="s">
        <v>27</v>
      </c>
      <c r="Q541" s="1" t="s">
        <v>26</v>
      </c>
    </row>
    <row r="542" spans="1:17" ht="16.5" customHeight="1" x14ac:dyDescent="0.25">
      <c r="A542" s="1" t="s">
        <v>58</v>
      </c>
      <c r="B542" s="1" t="s">
        <v>1115</v>
      </c>
      <c r="C542" s="1" t="s">
        <v>1116</v>
      </c>
      <c r="D542" s="44"/>
      <c r="E542" s="1" t="s">
        <v>23</v>
      </c>
      <c r="F542" s="1" t="s">
        <v>24</v>
      </c>
      <c r="G542" s="1" t="s">
        <v>24</v>
      </c>
      <c r="H542" s="26">
        <v>100</v>
      </c>
      <c r="I542" s="27" t="str">
        <f>HYPERLINK("https://doc.morningstar.com/Document/dd68ce09ff29050633d0138281e82750.msdoc?clientid=fnz&amp;key=9c0e4d166b60ffd3","TMD")</f>
        <v>TMD</v>
      </c>
      <c r="J542" t="s">
        <v>25</v>
      </c>
      <c r="K542" s="1" t="s">
        <v>25</v>
      </c>
      <c r="L542" s="1" t="s">
        <v>25</v>
      </c>
      <c r="M542" s="1" t="s">
        <v>25</v>
      </c>
      <c r="N542" s="1" t="s">
        <v>26</v>
      </c>
      <c r="O542" s="1" t="s">
        <v>26</v>
      </c>
      <c r="P542" s="1" t="s">
        <v>27</v>
      </c>
      <c r="Q542" s="1" t="s">
        <v>27</v>
      </c>
    </row>
    <row r="543" spans="1:17" ht="16.5" customHeight="1" x14ac:dyDescent="0.25">
      <c r="A543" s="1" t="s">
        <v>274</v>
      </c>
      <c r="B543" s="1" t="s">
        <v>1117</v>
      </c>
      <c r="C543" s="1" t="s">
        <v>1118</v>
      </c>
      <c r="D543" s="44"/>
      <c r="E543" s="1" t="s">
        <v>40</v>
      </c>
      <c r="F543" s="1" t="s">
        <v>24</v>
      </c>
      <c r="G543" s="1" t="s">
        <v>24</v>
      </c>
      <c r="H543" s="26">
        <v>100</v>
      </c>
      <c r="I543" s="27" t="str">
        <f>HYPERLINK("https://doc.morningstar.com/Document/84458fecfc99d3a5ad85c9cac03f16da.msdoc?clientid=fnz&amp;key=9c0e4d166b60ffd3","TMD")</f>
        <v>TMD</v>
      </c>
      <c r="J543" t="s">
        <v>25</v>
      </c>
      <c r="K543" s="1" t="s">
        <v>25</v>
      </c>
      <c r="L543" s="1" t="s">
        <v>25</v>
      </c>
      <c r="M543" s="1" t="s">
        <v>25</v>
      </c>
      <c r="N543" s="1" t="s">
        <v>26</v>
      </c>
      <c r="O543" s="1" t="s">
        <v>27</v>
      </c>
      <c r="P543" s="1" t="s">
        <v>27</v>
      </c>
      <c r="Q543" s="1" t="s">
        <v>26</v>
      </c>
    </row>
    <row r="544" spans="1:17" ht="16.5" customHeight="1" x14ac:dyDescent="0.25">
      <c r="A544" s="1" t="s">
        <v>225</v>
      </c>
      <c r="B544" s="1" t="s">
        <v>1119</v>
      </c>
      <c r="C544" s="1" t="s">
        <v>1120</v>
      </c>
      <c r="D544" s="44"/>
      <c r="E544" s="1" t="s">
        <v>23</v>
      </c>
      <c r="F544" s="1" t="s">
        <v>24</v>
      </c>
      <c r="G544" s="1" t="s">
        <v>24</v>
      </c>
      <c r="H544" s="26">
        <v>30</v>
      </c>
      <c r="I544" s="27" t="str">
        <f>HYPERLINK("https://doc.morningstar.com/Document/dd68ce09ff290506747746b07f966ff5.msdoc?clientid=fnz&amp;key=9c0e4d166b60ffd3","TMD")</f>
        <v>TMD</v>
      </c>
      <c r="J544" t="s">
        <v>25</v>
      </c>
      <c r="K544" s="1" t="s">
        <v>25</v>
      </c>
      <c r="L544" s="1" t="s">
        <v>25</v>
      </c>
      <c r="M544" s="1" t="s">
        <v>25</v>
      </c>
      <c r="N544" s="1" t="s">
        <v>26</v>
      </c>
      <c r="O544" s="1" t="s">
        <v>26</v>
      </c>
      <c r="P544" s="1" t="s">
        <v>26</v>
      </c>
      <c r="Q544" s="1" t="s">
        <v>27</v>
      </c>
    </row>
    <row r="545" spans="1:17" ht="16.5" customHeight="1" x14ac:dyDescent="0.25">
      <c r="A545" s="1" t="s">
        <v>58</v>
      </c>
      <c r="B545" s="1" t="s">
        <v>1121</v>
      </c>
      <c r="C545" s="1" t="s">
        <v>1122</v>
      </c>
      <c r="D545" s="44"/>
      <c r="E545" s="1" t="s">
        <v>61</v>
      </c>
      <c r="F545" s="1" t="s">
        <v>24</v>
      </c>
      <c r="G545" s="1" t="s">
        <v>24</v>
      </c>
      <c r="H545" s="26">
        <v>100</v>
      </c>
      <c r="I545" s="27" t="str">
        <f>HYPERLINK("https://doc.morningstar.com/Document/815eabbd0a8fcee7a65fe8034778f38c.msdoc?clientid=fnz&amp;key=9c0e4d166b60ffd3","TMD")</f>
        <v>TMD</v>
      </c>
      <c r="J545" t="s">
        <v>25</v>
      </c>
      <c r="K545" s="1" t="s">
        <v>25</v>
      </c>
      <c r="L545" s="1" t="s">
        <v>25</v>
      </c>
      <c r="M545" s="1" t="s">
        <v>25</v>
      </c>
      <c r="N545" s="1" t="s">
        <v>26</v>
      </c>
      <c r="O545" s="1" t="s">
        <v>26</v>
      </c>
      <c r="P545" s="1" t="s">
        <v>27</v>
      </c>
      <c r="Q545" s="1" t="s">
        <v>26</v>
      </c>
    </row>
    <row r="546" spans="1:17" ht="16.5" customHeight="1" x14ac:dyDescent="0.25">
      <c r="A546" s="1" t="s">
        <v>52</v>
      </c>
      <c r="B546" s="1" t="s">
        <v>1123</v>
      </c>
      <c r="C546" s="1" t="s">
        <v>1124</v>
      </c>
      <c r="D546" s="44"/>
      <c r="E546" s="1" t="s">
        <v>40</v>
      </c>
      <c r="F546" s="1" t="s">
        <v>24</v>
      </c>
      <c r="G546" s="1" t="s">
        <v>24</v>
      </c>
      <c r="H546" s="26">
        <v>100</v>
      </c>
      <c r="I546" s="27" t="str">
        <f>HYPERLINK("https://doc.morningstar.com/Document/f9e3f9c6a3a1570959369ada5ee7b950.msdoc?clientid=fnz&amp;key=9c0e4d166b60ffd3","TMD")</f>
        <v>TMD</v>
      </c>
      <c r="J546" t="s">
        <v>25</v>
      </c>
      <c r="K546" s="1" t="s">
        <v>25</v>
      </c>
      <c r="L546" s="1" t="s">
        <v>25</v>
      </c>
      <c r="M546" s="1" t="s">
        <v>25</v>
      </c>
      <c r="N546" s="1" t="s">
        <v>26</v>
      </c>
      <c r="O546" s="1" t="s">
        <v>27</v>
      </c>
      <c r="P546" s="1" t="s">
        <v>26</v>
      </c>
      <c r="Q546" s="1" t="s">
        <v>26</v>
      </c>
    </row>
    <row r="547" spans="1:17" ht="16.5" customHeight="1" x14ac:dyDescent="0.25">
      <c r="A547" s="1" t="s">
        <v>58</v>
      </c>
      <c r="B547" s="1" t="s">
        <v>1125</v>
      </c>
      <c r="C547" s="1" t="s">
        <v>1126</v>
      </c>
      <c r="D547" s="44"/>
      <c r="E547" s="1" t="s">
        <v>61</v>
      </c>
      <c r="F547" s="1" t="s">
        <v>24</v>
      </c>
      <c r="G547" s="1" t="s">
        <v>24</v>
      </c>
      <c r="H547" s="26">
        <v>100</v>
      </c>
      <c r="I547" s="27" t="str">
        <f>HYPERLINK("https://doc.morningstar.com/Document/f9e3f9c6a3a1570902416f175c50602f.msdoc?clientid=fnz&amp;key=9c0e4d166b60ffd3","TMD")</f>
        <v>TMD</v>
      </c>
      <c r="J547" t="s">
        <v>25</v>
      </c>
      <c r="K547" s="1" t="s">
        <v>25</v>
      </c>
      <c r="L547" s="1" t="s">
        <v>25</v>
      </c>
      <c r="M547" s="1" t="s">
        <v>25</v>
      </c>
      <c r="N547" s="1" t="s">
        <v>26</v>
      </c>
      <c r="O547" s="1" t="s">
        <v>26</v>
      </c>
      <c r="P547" s="1" t="s">
        <v>27</v>
      </c>
      <c r="Q547" s="1" t="s">
        <v>26</v>
      </c>
    </row>
    <row r="548" spans="1:17" ht="16.5" customHeight="1" x14ac:dyDescent="0.25">
      <c r="A548" s="1" t="s">
        <v>58</v>
      </c>
      <c r="B548" s="1" t="s">
        <v>1127</v>
      </c>
      <c r="C548" s="1" t="s">
        <v>1128</v>
      </c>
      <c r="D548" s="44"/>
      <c r="E548" s="1" t="s">
        <v>61</v>
      </c>
      <c r="F548" s="1" t="s">
        <v>24</v>
      </c>
      <c r="G548" s="1" t="s">
        <v>24</v>
      </c>
      <c r="H548" s="26">
        <v>100</v>
      </c>
      <c r="I548" s="27" t="str">
        <f>HYPERLINK("https://doc.morningstar.com/Document/815eabbd0a8fcee7ce4259735c31298f.msdoc?clientid=fnz&amp;key=9c0e4d166b60ffd3","TMD")</f>
        <v>TMD</v>
      </c>
      <c r="J548" t="s">
        <v>25</v>
      </c>
      <c r="K548" s="1" t="s">
        <v>25</v>
      </c>
      <c r="L548" s="1" t="s">
        <v>25</v>
      </c>
      <c r="M548" s="1" t="s">
        <v>25</v>
      </c>
      <c r="N548" s="1" t="s">
        <v>26</v>
      </c>
      <c r="O548" s="1" t="s">
        <v>26</v>
      </c>
      <c r="P548" s="1" t="s">
        <v>27</v>
      </c>
      <c r="Q548" s="1" t="s">
        <v>26</v>
      </c>
    </row>
    <row r="549" spans="1:17" ht="16.5" customHeight="1" x14ac:dyDescent="0.25">
      <c r="A549" s="1" t="s">
        <v>52</v>
      </c>
      <c r="B549" s="1" t="s">
        <v>1129</v>
      </c>
      <c r="C549" s="1" t="s">
        <v>1130</v>
      </c>
      <c r="D549" s="44"/>
      <c r="E549" s="1" t="s">
        <v>40</v>
      </c>
      <c r="F549" s="1" t="s">
        <v>24</v>
      </c>
      <c r="G549" s="1" t="s">
        <v>24</v>
      </c>
      <c r="H549" s="26">
        <v>100</v>
      </c>
      <c r="I549" s="27" t="str">
        <f>HYPERLINK("https://doc.morningstar.com/Document/6038d3e2a6188f4323a5ee3824632a98.msdoc?clientid=fnz&amp;key=9c0e4d166b60ffd3","TMD")</f>
        <v>TMD</v>
      </c>
      <c r="J549" t="s">
        <v>25</v>
      </c>
      <c r="K549" s="1" t="s">
        <v>26</v>
      </c>
      <c r="L549" s="1" t="s">
        <v>27</v>
      </c>
      <c r="M549" s="1" t="s">
        <v>27</v>
      </c>
      <c r="N549" s="1" t="s">
        <v>26</v>
      </c>
      <c r="O549" s="1" t="s">
        <v>27</v>
      </c>
      <c r="P549" s="1" t="s">
        <v>27</v>
      </c>
      <c r="Q549" s="1" t="s">
        <v>27</v>
      </c>
    </row>
    <row r="550" spans="1:17" ht="16.5" customHeight="1" x14ac:dyDescent="0.25">
      <c r="A550" s="1" t="s">
        <v>37</v>
      </c>
      <c r="B550" s="1" t="s">
        <v>1131</v>
      </c>
      <c r="C550" s="1" t="s">
        <v>1132</v>
      </c>
      <c r="D550" s="44"/>
      <c r="E550" s="1" t="s">
        <v>23</v>
      </c>
      <c r="F550" s="1" t="s">
        <v>24</v>
      </c>
      <c r="G550" s="1" t="s">
        <v>24</v>
      </c>
      <c r="H550" s="26">
        <v>50</v>
      </c>
      <c r="I550" s="27" t="str">
        <f>HYPERLINK("https://doc.morningstar.com/Document/2035050a02f2dc446dd8c8c68f6dcf62.msdoc?clientid=fnz&amp;key=9c0e4d166b60ffd3","TMD")</f>
        <v>TMD</v>
      </c>
      <c r="J550" t="s">
        <v>25</v>
      </c>
      <c r="K550" s="1" t="s">
        <v>25</v>
      </c>
      <c r="L550" s="1" t="s">
        <v>25</v>
      </c>
      <c r="M550" s="1" t="s">
        <v>25</v>
      </c>
      <c r="N550" s="1" t="s">
        <v>25</v>
      </c>
      <c r="O550" s="1" t="s">
        <v>25</v>
      </c>
      <c r="P550" s="1" t="s">
        <v>25</v>
      </c>
      <c r="Q550" s="1" t="s">
        <v>25</v>
      </c>
    </row>
    <row r="551" spans="1:17" ht="16.5" customHeight="1" x14ac:dyDescent="0.25">
      <c r="A551" s="1" t="s">
        <v>52</v>
      </c>
      <c r="B551" s="1" t="s">
        <v>1133</v>
      </c>
      <c r="C551" s="1" t="s">
        <v>1134</v>
      </c>
      <c r="D551" s="44"/>
      <c r="E551" s="1" t="s">
        <v>40</v>
      </c>
      <c r="F551" s="1" t="s">
        <v>24</v>
      </c>
      <c r="G551" s="1" t="s">
        <v>24</v>
      </c>
      <c r="H551" s="26">
        <v>100</v>
      </c>
      <c r="I551" s="27" t="str">
        <f>HYPERLINK("https://doc.morningstar.com/Document/1d1dd597081fc740dc0a6236ac8081a1.msdoc?clientid=fnz&amp;key=9c0e4d166b60ffd3","TMD")</f>
        <v>TMD</v>
      </c>
      <c r="J551" t="s">
        <v>25</v>
      </c>
      <c r="K551" s="1" t="s">
        <v>25</v>
      </c>
      <c r="L551" s="1" t="s">
        <v>25</v>
      </c>
      <c r="M551" s="1" t="s">
        <v>25</v>
      </c>
      <c r="N551" s="1" t="s">
        <v>27</v>
      </c>
      <c r="O551" s="1" t="s">
        <v>27</v>
      </c>
      <c r="P551" s="1" t="s">
        <v>27</v>
      </c>
      <c r="Q551" s="1" t="s">
        <v>27</v>
      </c>
    </row>
    <row r="552" spans="1:17" ht="16.5" customHeight="1" x14ac:dyDescent="0.25">
      <c r="A552" s="1" t="s">
        <v>141</v>
      </c>
      <c r="B552" s="1" t="s">
        <v>1135</v>
      </c>
      <c r="C552" s="1" t="s">
        <v>1136</v>
      </c>
      <c r="D552" s="44"/>
      <c r="E552" s="1" t="s">
        <v>61</v>
      </c>
      <c r="F552" s="1" t="s">
        <v>24</v>
      </c>
      <c r="G552" s="1" t="s">
        <v>24</v>
      </c>
      <c r="H552" s="26">
        <v>20</v>
      </c>
      <c r="I552" s="27" t="str">
        <f>HYPERLINK("https://doc.morningstar.com/Document/1ca55faae3f209fd6b315d9c4cae1898.msdoc?clientid=fnz&amp;key=9c0e4d166b60ffd3","TMD")</f>
        <v>TMD</v>
      </c>
      <c r="J552" t="s">
        <v>25</v>
      </c>
      <c r="K552" s="1" t="s">
        <v>25</v>
      </c>
      <c r="L552" s="1" t="s">
        <v>25</v>
      </c>
      <c r="M552" s="1" t="s">
        <v>25</v>
      </c>
      <c r="N552" s="1" t="s">
        <v>26</v>
      </c>
      <c r="O552" s="1" t="s">
        <v>26</v>
      </c>
      <c r="P552" s="1" t="s">
        <v>27</v>
      </c>
      <c r="Q552" s="1" t="s">
        <v>27</v>
      </c>
    </row>
    <row r="553" spans="1:17" ht="16.5" customHeight="1" x14ac:dyDescent="0.25">
      <c r="A553" s="1" t="s">
        <v>31</v>
      </c>
      <c r="B553" s="1" t="s">
        <v>1137</v>
      </c>
      <c r="C553" s="1" t="s">
        <v>1138</v>
      </c>
      <c r="D553" s="44"/>
      <c r="E553" s="1" t="s">
        <v>23</v>
      </c>
      <c r="F553" s="1" t="s">
        <v>24</v>
      </c>
      <c r="G553" s="1" t="s">
        <v>24</v>
      </c>
      <c r="H553" s="26">
        <v>100</v>
      </c>
      <c r="I553" s="27" t="str">
        <f>HYPERLINK("https://doc.morningstar.com/Document/f02f7023ea44a71ee802b69c41013e8d.msdoc?clientid=fnz&amp;key=9c0e4d166b60ffd3","TMD")</f>
        <v>TMD</v>
      </c>
      <c r="J553" t="s">
        <v>25</v>
      </c>
      <c r="K553" s="1" t="s">
        <v>25</v>
      </c>
      <c r="L553" s="1" t="s">
        <v>25</v>
      </c>
      <c r="M553" s="1" t="s">
        <v>25</v>
      </c>
      <c r="N553" s="1" t="s">
        <v>26</v>
      </c>
      <c r="O553" s="1" t="s">
        <v>26</v>
      </c>
      <c r="P553" s="1" t="s">
        <v>27</v>
      </c>
      <c r="Q553" s="1" t="s">
        <v>27</v>
      </c>
    </row>
    <row r="554" spans="1:17" ht="16.5" customHeight="1" x14ac:dyDescent="0.25">
      <c r="A554" s="1" t="s">
        <v>58</v>
      </c>
      <c r="B554" s="1" t="s">
        <v>1139</v>
      </c>
      <c r="C554" s="1" t="s">
        <v>1140</v>
      </c>
      <c r="D554" s="44"/>
      <c r="E554" s="1" t="s">
        <v>61</v>
      </c>
      <c r="F554" s="1" t="s">
        <v>24</v>
      </c>
      <c r="G554" s="1" t="s">
        <v>24</v>
      </c>
      <c r="H554" s="26">
        <v>100</v>
      </c>
      <c r="I554" s="27" t="str">
        <f>HYPERLINK("https://doc.morningstar.com/Document/0a72bcd37281ae0ae23193ebeaefd50a.msdoc?clientid=fnz&amp;key=9c0e4d166b60ffd3","TMD")</f>
        <v>TMD</v>
      </c>
      <c r="J554" t="s">
        <v>25</v>
      </c>
      <c r="K554" s="1" t="s">
        <v>25</v>
      </c>
      <c r="L554" s="1" t="s">
        <v>25</v>
      </c>
      <c r="M554" s="1" t="s">
        <v>25</v>
      </c>
      <c r="N554" s="1" t="s">
        <v>26</v>
      </c>
      <c r="O554" s="1" t="s">
        <v>26</v>
      </c>
      <c r="P554" s="1" t="s">
        <v>27</v>
      </c>
      <c r="Q554" s="1" t="s">
        <v>27</v>
      </c>
    </row>
    <row r="555" spans="1:17" ht="16.5" customHeight="1" x14ac:dyDescent="0.25">
      <c r="A555" s="1" t="s">
        <v>31</v>
      </c>
      <c r="B555" s="1" t="s">
        <v>1141</v>
      </c>
      <c r="C555" s="1" t="s">
        <v>1142</v>
      </c>
      <c r="D555" s="44"/>
      <c r="E555" s="1" t="s">
        <v>40</v>
      </c>
      <c r="F555" s="1" t="s">
        <v>24</v>
      </c>
      <c r="G555" s="1" t="s">
        <v>24</v>
      </c>
      <c r="H555" s="26">
        <v>100</v>
      </c>
      <c r="I555" s="27" t="str">
        <f>HYPERLINK("https://doc.morningstar.com/Document/50be49fd686f483fed107e346376b580.msdoc?clientid=fnz&amp;key=9c0e4d166b60ffd3","TMD")</f>
        <v>TMD</v>
      </c>
      <c r="J555" t="s">
        <v>25</v>
      </c>
      <c r="K555" s="1" t="s">
        <v>25</v>
      </c>
      <c r="L555" s="1" t="s">
        <v>25</v>
      </c>
      <c r="M555" s="1" t="s">
        <v>25</v>
      </c>
      <c r="N555" s="1" t="s">
        <v>26</v>
      </c>
      <c r="O555" s="1" t="s">
        <v>26</v>
      </c>
      <c r="P555" s="1" t="s">
        <v>27</v>
      </c>
      <c r="Q555" s="1" t="s">
        <v>27</v>
      </c>
    </row>
    <row r="556" spans="1:17" ht="16.5" customHeight="1" x14ac:dyDescent="0.25">
      <c r="A556" s="1" t="s">
        <v>28</v>
      </c>
      <c r="B556" s="1" t="s">
        <v>1143</v>
      </c>
      <c r="C556" s="1" t="s">
        <v>1144</v>
      </c>
      <c r="D556" s="44"/>
      <c r="E556" s="1" t="s">
        <v>61</v>
      </c>
      <c r="F556" s="1" t="s">
        <v>24</v>
      </c>
      <c r="G556" s="1" t="s">
        <v>24</v>
      </c>
      <c r="H556" s="26">
        <v>30</v>
      </c>
      <c r="I556" s="27" t="str">
        <f>HYPERLINK("https://doc.morningstar.com/Document/1bb1e292541f9324c4445543685ea7c1.msdoc?clientid=fnz&amp;key=9c0e4d166b60ffd3","TMD")</f>
        <v>TMD</v>
      </c>
      <c r="J556" t="s">
        <v>25</v>
      </c>
      <c r="K556" s="1" t="s">
        <v>25</v>
      </c>
      <c r="L556" s="1" t="s">
        <v>25</v>
      </c>
      <c r="M556" s="1" t="s">
        <v>25</v>
      </c>
      <c r="N556" s="1" t="s">
        <v>26</v>
      </c>
      <c r="O556" s="1" t="s">
        <v>26</v>
      </c>
      <c r="P556" s="1" t="s">
        <v>27</v>
      </c>
      <c r="Q556" s="1" t="s">
        <v>27</v>
      </c>
    </row>
    <row r="557" spans="1:17" ht="16.5" customHeight="1" x14ac:dyDescent="0.25">
      <c r="A557" s="1" t="s">
        <v>141</v>
      </c>
      <c r="B557" s="1" t="s">
        <v>1145</v>
      </c>
      <c r="C557" s="1" t="s">
        <v>1146</v>
      </c>
      <c r="D557" s="44"/>
      <c r="E557" s="1" t="s">
        <v>61</v>
      </c>
      <c r="F557" s="1" t="s">
        <v>24</v>
      </c>
      <c r="G557" s="1" t="s">
        <v>24</v>
      </c>
      <c r="H557" s="26">
        <v>20</v>
      </c>
      <c r="I557" s="27" t="str">
        <f>HYPERLINK("https://doc.morningstar.com/Document/ec88ff7dfcbc7b6ffdd8580c51f145e5.msdoc?clientid=fnz&amp;key=9c0e4d166b60ffd3","TMD")</f>
        <v>TMD</v>
      </c>
      <c r="J557" t="s">
        <v>62</v>
      </c>
      <c r="K557" s="1" t="s">
        <v>25</v>
      </c>
      <c r="L557" s="1" t="s">
        <v>25</v>
      </c>
      <c r="M557" s="1" t="s">
        <v>25</v>
      </c>
      <c r="N557" s="1" t="s">
        <v>26</v>
      </c>
      <c r="O557" s="1" t="s">
        <v>26</v>
      </c>
      <c r="P557" s="1" t="s">
        <v>26</v>
      </c>
      <c r="Q557" s="1" t="s">
        <v>27</v>
      </c>
    </row>
    <row r="558" spans="1:17" ht="16.5" customHeight="1" x14ac:dyDescent="0.25">
      <c r="A558" s="1" t="s">
        <v>58</v>
      </c>
      <c r="B558" s="1" t="s">
        <v>1147</v>
      </c>
      <c r="C558" s="1" t="s">
        <v>1148</v>
      </c>
      <c r="D558" s="44"/>
      <c r="E558" s="1" t="s">
        <v>61</v>
      </c>
      <c r="F558" s="1" t="s">
        <v>24</v>
      </c>
      <c r="G558" s="1" t="s">
        <v>24</v>
      </c>
      <c r="H558" s="26">
        <v>100</v>
      </c>
      <c r="I558" s="27" t="str">
        <f>HYPERLINK("https://doc.morningstar.com/Document/735ad5f3566716b6d2634aeaf30dfaef.msdoc?clientid=fnz&amp;key=9c0e4d166b60ffd3","TMD")</f>
        <v>TMD</v>
      </c>
      <c r="J558" t="s">
        <v>25</v>
      </c>
      <c r="K558" s="1" t="s">
        <v>25</v>
      </c>
      <c r="L558" s="1" t="s">
        <v>25</v>
      </c>
      <c r="M558" s="1" t="s">
        <v>25</v>
      </c>
      <c r="N558" s="1" t="s">
        <v>26</v>
      </c>
      <c r="O558" s="1" t="s">
        <v>26</v>
      </c>
      <c r="P558" s="1" t="s">
        <v>27</v>
      </c>
      <c r="Q558" s="1" t="s">
        <v>27</v>
      </c>
    </row>
    <row r="559" spans="1:17" ht="16.5" customHeight="1" x14ac:dyDescent="0.25">
      <c r="A559" s="1" t="s">
        <v>31</v>
      </c>
      <c r="B559" s="1" t="s">
        <v>1149</v>
      </c>
      <c r="C559" s="1" t="s">
        <v>1150</v>
      </c>
      <c r="D559" s="44"/>
      <c r="E559" s="1" t="s">
        <v>40</v>
      </c>
      <c r="F559" s="1" t="s">
        <v>24</v>
      </c>
      <c r="G559" s="1" t="s">
        <v>24</v>
      </c>
      <c r="H559" s="26">
        <v>100</v>
      </c>
      <c r="I559" s="27" t="str">
        <f>HYPERLINK("https://doc.morningstar.com/Document/50be49fd686f483f15d476c42731270c.msdoc?clientid=fnz&amp;key=9c0e4d166b60ffd3","TMD")</f>
        <v>TMD</v>
      </c>
      <c r="J559" t="s">
        <v>25</v>
      </c>
      <c r="K559" s="1" t="s">
        <v>25</v>
      </c>
      <c r="L559" s="1" t="s">
        <v>25</v>
      </c>
      <c r="M559" s="1" t="s">
        <v>25</v>
      </c>
      <c r="N559" s="1" t="s">
        <v>26</v>
      </c>
      <c r="O559" s="1" t="s">
        <v>26</v>
      </c>
      <c r="P559" s="1" t="s">
        <v>27</v>
      </c>
      <c r="Q559" s="1" t="s">
        <v>27</v>
      </c>
    </row>
    <row r="560" spans="1:17" ht="16.5" customHeight="1" x14ac:dyDescent="0.25">
      <c r="A560" s="1" t="s">
        <v>225</v>
      </c>
      <c r="B560" s="1" t="s">
        <v>1151</v>
      </c>
      <c r="C560" s="1" t="s">
        <v>1152</v>
      </c>
      <c r="D560" s="44"/>
      <c r="E560" s="1" t="s">
        <v>23</v>
      </c>
      <c r="F560" s="1" t="s">
        <v>24</v>
      </c>
      <c r="G560" s="1" t="s">
        <v>24</v>
      </c>
      <c r="H560" s="26">
        <v>30</v>
      </c>
      <c r="I560" s="27" t="str">
        <f>HYPERLINK("https://doc.morningstar.com/Document/e694437d4b9481c26dd2af679478729a.msdoc?clientid=fnz&amp;key=9c0e4d166b60ffd3","TMD")</f>
        <v>TMD</v>
      </c>
      <c r="J560" t="s">
        <v>25</v>
      </c>
      <c r="K560" s="1" t="s">
        <v>25</v>
      </c>
      <c r="L560" s="1" t="s">
        <v>25</v>
      </c>
      <c r="M560" s="1" t="s">
        <v>25</v>
      </c>
      <c r="N560" s="1" t="s">
        <v>26</v>
      </c>
      <c r="O560" s="1" t="s">
        <v>26</v>
      </c>
      <c r="P560" s="1" t="s">
        <v>27</v>
      </c>
      <c r="Q560" s="1" t="s">
        <v>27</v>
      </c>
    </row>
    <row r="561" spans="1:17" ht="16.5" customHeight="1" x14ac:dyDescent="0.25">
      <c r="A561" s="1" t="s">
        <v>141</v>
      </c>
      <c r="B561" s="1" t="s">
        <v>1153</v>
      </c>
      <c r="C561" s="1" t="s">
        <v>1154</v>
      </c>
      <c r="D561" s="44"/>
      <c r="E561" s="1" t="s">
        <v>40</v>
      </c>
      <c r="F561" s="1" t="s">
        <v>24</v>
      </c>
      <c r="G561" s="1" t="s">
        <v>24</v>
      </c>
      <c r="H561" s="26">
        <v>20</v>
      </c>
      <c r="I561" s="27" t="str">
        <f>HYPERLINK("https://doc.morningstar.com/Document/4f1ef5c90c5529e4e29ea0ee3ba37429.msdoc?clientid=fnz&amp;key=9c0e4d166b60ffd3","TMD")</f>
        <v>TMD</v>
      </c>
      <c r="J561" t="s">
        <v>62</v>
      </c>
      <c r="K561" s="1" t="s">
        <v>26</v>
      </c>
      <c r="L561" s="1" t="s">
        <v>216</v>
      </c>
      <c r="M561" s="1" t="s">
        <v>216</v>
      </c>
      <c r="N561" s="1" t="s">
        <v>26</v>
      </c>
      <c r="O561" s="1" t="s">
        <v>26</v>
      </c>
      <c r="P561" s="1" t="s">
        <v>27</v>
      </c>
      <c r="Q561" s="1" t="s">
        <v>27</v>
      </c>
    </row>
    <row r="562" spans="1:17" ht="16.5" customHeight="1" x14ac:dyDescent="0.25">
      <c r="A562" s="1" t="s">
        <v>28</v>
      </c>
      <c r="B562" s="1" t="s">
        <v>1155</v>
      </c>
      <c r="C562" s="1" t="s">
        <v>1156</v>
      </c>
      <c r="D562" s="44"/>
      <c r="E562" s="1" t="s">
        <v>23</v>
      </c>
      <c r="F562" s="1" t="s">
        <v>24</v>
      </c>
      <c r="G562" s="1" t="s">
        <v>24</v>
      </c>
      <c r="H562" s="26">
        <v>30</v>
      </c>
      <c r="I562" s="27" t="str">
        <f>HYPERLINK("https://doc.morningstar.com/Document/e694437d4b9481c2625da772e31f8c7a.msdoc?clientid=fnz&amp;key=9c0e4d166b60ffd3","TMD")</f>
        <v>TMD</v>
      </c>
      <c r="J562" t="s">
        <v>25</v>
      </c>
      <c r="K562" s="1" t="s">
        <v>25</v>
      </c>
      <c r="L562" s="1" t="s">
        <v>25</v>
      </c>
      <c r="M562" s="1" t="s">
        <v>25</v>
      </c>
      <c r="N562" s="1" t="s">
        <v>26</v>
      </c>
      <c r="O562" s="1" t="s">
        <v>26</v>
      </c>
      <c r="P562" s="1" t="s">
        <v>27</v>
      </c>
      <c r="Q562" s="1" t="s">
        <v>27</v>
      </c>
    </row>
    <row r="563" spans="1:17" ht="16.5" customHeight="1" x14ac:dyDescent="0.25">
      <c r="A563" s="1" t="s">
        <v>37</v>
      </c>
      <c r="B563" s="1" t="s">
        <v>1157</v>
      </c>
      <c r="C563" s="1" t="s">
        <v>1158</v>
      </c>
      <c r="D563" s="44"/>
      <c r="E563" s="1" t="s">
        <v>23</v>
      </c>
      <c r="F563" s="1" t="s">
        <v>24</v>
      </c>
      <c r="G563" s="1" t="s">
        <v>24</v>
      </c>
      <c r="H563" s="26">
        <v>50</v>
      </c>
      <c r="I563" s="27" t="str">
        <f>HYPERLINK("https://doc.morningstar.com/Document/50be49fd686f483f45a41995fa6daae6.msdoc?clientid=fnz&amp;key=9c0e4d166b60ffd3","TMD")</f>
        <v>TMD</v>
      </c>
      <c r="J563" t="s">
        <v>25</v>
      </c>
      <c r="K563" s="1" t="s">
        <v>25</v>
      </c>
      <c r="L563" s="1" t="s">
        <v>25</v>
      </c>
      <c r="M563" s="1" t="s">
        <v>25</v>
      </c>
      <c r="N563" s="1" t="s">
        <v>26</v>
      </c>
      <c r="O563" s="1" t="s">
        <v>26</v>
      </c>
      <c r="P563" s="1" t="s">
        <v>27</v>
      </c>
      <c r="Q563" s="1" t="s">
        <v>27</v>
      </c>
    </row>
    <row r="564" spans="1:17" ht="16.5" customHeight="1" x14ac:dyDescent="0.25">
      <c r="A564" s="1" t="s">
        <v>705</v>
      </c>
      <c r="B564" s="1" t="s">
        <v>1159</v>
      </c>
      <c r="C564" s="1" t="s">
        <v>1160</v>
      </c>
      <c r="D564" s="44"/>
      <c r="E564" s="1" t="s">
        <v>45</v>
      </c>
      <c r="F564" s="1" t="s">
        <v>24</v>
      </c>
      <c r="G564" s="1" t="s">
        <v>24</v>
      </c>
      <c r="H564" s="26">
        <v>100</v>
      </c>
      <c r="I564" s="27" t="str">
        <f>HYPERLINK("https://doc.morningstar.com/Document/50be49fd686f483f5a0c84efb94785db.msdoc?clientid=fnz&amp;key=9c0e4d166b60ffd3","TMD")</f>
        <v>TMD</v>
      </c>
      <c r="J564" t="s">
        <v>25</v>
      </c>
      <c r="K564" s="1" t="s">
        <v>25</v>
      </c>
      <c r="L564" s="1" t="s">
        <v>25</v>
      </c>
      <c r="M564" s="1" t="s">
        <v>25</v>
      </c>
      <c r="N564" s="1" t="s">
        <v>27</v>
      </c>
      <c r="O564" s="1" t="s">
        <v>26</v>
      </c>
      <c r="P564" s="1" t="s">
        <v>26</v>
      </c>
      <c r="Q564" s="1" t="s">
        <v>26</v>
      </c>
    </row>
    <row r="565" spans="1:17" ht="16.5" customHeight="1" x14ac:dyDescent="0.25">
      <c r="A565" s="1" t="s">
        <v>34</v>
      </c>
      <c r="B565" s="1" t="s">
        <v>1161</v>
      </c>
      <c r="C565" s="1" t="s">
        <v>1162</v>
      </c>
      <c r="D565" s="44"/>
      <c r="E565" s="1" t="s">
        <v>23</v>
      </c>
      <c r="F565" s="1" t="s">
        <v>24</v>
      </c>
      <c r="G565" s="1" t="s">
        <v>24</v>
      </c>
      <c r="H565" s="26">
        <v>30</v>
      </c>
      <c r="I565" s="27" t="str">
        <f>HYPERLINK("https://doc.morningstar.com/Document/b89e68de5259342c66df9ca2b15acc0e.msdoc?clientid=fnz&amp;key=9c0e4d166b60ffd3","TMD")</f>
        <v>TMD</v>
      </c>
      <c r="J565" t="s">
        <v>25</v>
      </c>
      <c r="K565" s="1" t="s">
        <v>25</v>
      </c>
      <c r="L565" s="1" t="s">
        <v>25</v>
      </c>
      <c r="M565" s="1" t="s">
        <v>25</v>
      </c>
      <c r="N565" s="1" t="s">
        <v>26</v>
      </c>
      <c r="O565" s="1" t="s">
        <v>26</v>
      </c>
      <c r="P565" s="1" t="s">
        <v>27</v>
      </c>
      <c r="Q565" s="1" t="s">
        <v>27</v>
      </c>
    </row>
    <row r="566" spans="1:17" ht="16.5" customHeight="1" x14ac:dyDescent="0.25">
      <c r="A566" s="1" t="s">
        <v>28</v>
      </c>
      <c r="B566" s="1" t="s">
        <v>1163</v>
      </c>
      <c r="C566" s="1" t="s">
        <v>1164</v>
      </c>
      <c r="D566" s="44"/>
      <c r="E566" s="1" t="s">
        <v>61</v>
      </c>
      <c r="F566" s="1" t="s">
        <v>24</v>
      </c>
      <c r="G566" s="1" t="s">
        <v>24</v>
      </c>
      <c r="H566" s="26">
        <v>30</v>
      </c>
      <c r="I566" s="27" t="str">
        <f>HYPERLINK("https://doc.morningstar.com/Document/cf942095c258d00285a4b63b17b27612.msdoc?clientid=fnz&amp;key=9c0e4d166b60ffd3","TMD")</f>
        <v>TMD</v>
      </c>
      <c r="J566" t="s">
        <v>25</v>
      </c>
      <c r="K566" s="1" t="s">
        <v>25</v>
      </c>
      <c r="L566" s="1" t="s">
        <v>25</v>
      </c>
      <c r="M566" s="1" t="s">
        <v>25</v>
      </c>
      <c r="N566" s="1" t="s">
        <v>26</v>
      </c>
      <c r="O566" s="1" t="s">
        <v>26</v>
      </c>
      <c r="P566" s="1" t="s">
        <v>27</v>
      </c>
      <c r="Q566" s="1" t="s">
        <v>27</v>
      </c>
    </row>
    <row r="567" spans="1:17" ht="16.5" customHeight="1" x14ac:dyDescent="0.25">
      <c r="A567" s="1" t="s">
        <v>274</v>
      </c>
      <c r="B567" s="1" t="s">
        <v>1165</v>
      </c>
      <c r="C567" s="1" t="s">
        <v>1166</v>
      </c>
      <c r="D567" s="44"/>
      <c r="E567" s="1" t="s">
        <v>23</v>
      </c>
      <c r="F567" s="1" t="s">
        <v>24</v>
      </c>
      <c r="G567" s="1" t="s">
        <v>24</v>
      </c>
      <c r="H567" s="26">
        <v>100</v>
      </c>
      <c r="I567" s="27" t="str">
        <f>HYPERLINK("https://doc.morningstar.com/Document/a8484355aa9da72a3cd08d6577e222ea.msdoc?clientid=fnz&amp;key=9c0e4d166b60ffd3","TMD")</f>
        <v>TMD</v>
      </c>
      <c r="J567" t="s">
        <v>62</v>
      </c>
      <c r="K567" s="1" t="s">
        <v>25</v>
      </c>
      <c r="L567" s="1" t="s">
        <v>25</v>
      </c>
      <c r="M567" s="1" t="s">
        <v>25</v>
      </c>
      <c r="N567" s="1" t="s">
        <v>26</v>
      </c>
      <c r="O567" s="1" t="s">
        <v>27</v>
      </c>
      <c r="P567" s="1" t="s">
        <v>27</v>
      </c>
      <c r="Q567" s="1" t="s">
        <v>26</v>
      </c>
    </row>
    <row r="568" spans="1:17" ht="16.5" customHeight="1" x14ac:dyDescent="0.25">
      <c r="A568" s="1" t="s">
        <v>34</v>
      </c>
      <c r="B568" s="1" t="s">
        <v>1167</v>
      </c>
      <c r="C568" s="1" t="s">
        <v>1168</v>
      </c>
      <c r="D568" s="44"/>
      <c r="E568" s="1" t="s">
        <v>61</v>
      </c>
      <c r="F568" s="1" t="s">
        <v>24</v>
      </c>
      <c r="G568" s="1" t="s">
        <v>24</v>
      </c>
      <c r="H568" s="26">
        <v>30</v>
      </c>
      <c r="I568" s="27" t="str">
        <f>HYPERLINK("https://doc.morningstar.com/Document/00841ce8ce0f30199eec4efd4a1327ea.msdoc?clientid=fnz&amp;key=9c0e4d166b60ffd3","TMD")</f>
        <v>TMD</v>
      </c>
      <c r="J568" t="s">
        <v>25</v>
      </c>
      <c r="K568" s="1" t="s">
        <v>25</v>
      </c>
      <c r="L568" s="1" t="s">
        <v>25</v>
      </c>
      <c r="M568" s="1" t="s">
        <v>25</v>
      </c>
      <c r="N568" s="1" t="s">
        <v>26</v>
      </c>
      <c r="O568" s="1" t="s">
        <v>26</v>
      </c>
      <c r="P568" s="1" t="s">
        <v>27</v>
      </c>
      <c r="Q568" s="1" t="s">
        <v>27</v>
      </c>
    </row>
    <row r="569" spans="1:17" ht="16.5" customHeight="1" x14ac:dyDescent="0.25">
      <c r="A569" s="1" t="s">
        <v>58</v>
      </c>
      <c r="B569" s="1" t="s">
        <v>1169</v>
      </c>
      <c r="C569" s="1" t="s">
        <v>1170</v>
      </c>
      <c r="D569" s="44"/>
      <c r="E569" s="1" t="s">
        <v>61</v>
      </c>
      <c r="F569" s="1" t="s">
        <v>24</v>
      </c>
      <c r="G569" s="1" t="s">
        <v>24</v>
      </c>
      <c r="H569" s="26">
        <v>100</v>
      </c>
      <c r="I569" s="27" t="str">
        <f>HYPERLINK("https://doc.morningstar.com/Document/be91c907fb311825b8900da180e357b5.msdoc?clientid=fnz&amp;key=9c0e4d166b60ffd3","TMD")</f>
        <v>TMD</v>
      </c>
      <c r="J569" t="s">
        <v>25</v>
      </c>
      <c r="K569" s="1" t="s">
        <v>25</v>
      </c>
      <c r="L569" s="1" t="s">
        <v>25</v>
      </c>
      <c r="M569" s="1" t="s">
        <v>25</v>
      </c>
      <c r="N569" s="1" t="s">
        <v>26</v>
      </c>
      <c r="O569" s="1" t="s">
        <v>26</v>
      </c>
      <c r="P569" s="1" t="s">
        <v>27</v>
      </c>
      <c r="Q569" s="1" t="s">
        <v>26</v>
      </c>
    </row>
    <row r="570" spans="1:17" ht="16.5" customHeight="1" x14ac:dyDescent="0.25">
      <c r="A570" s="1" t="s">
        <v>58</v>
      </c>
      <c r="B570" s="1" t="s">
        <v>1171</v>
      </c>
      <c r="C570" s="1" t="s">
        <v>1172</v>
      </c>
      <c r="D570" s="44"/>
      <c r="E570" s="1" t="s">
        <v>23</v>
      </c>
      <c r="F570" s="1" t="s">
        <v>24</v>
      </c>
      <c r="G570" s="1" t="s">
        <v>24</v>
      </c>
      <c r="H570" s="26">
        <v>100</v>
      </c>
      <c r="I570" s="27" t="str">
        <f>HYPERLINK("https://doc.morningstar.com/Document/e694437d4b9481c2f7ed00b27178deb4.msdoc?clientid=fnz&amp;key=9c0e4d166b60ffd3","TMD")</f>
        <v>TMD</v>
      </c>
      <c r="J570" t="s">
        <v>25</v>
      </c>
      <c r="K570" s="1" t="s">
        <v>25</v>
      </c>
      <c r="L570" s="1" t="s">
        <v>25</v>
      </c>
      <c r="M570" s="1" t="s">
        <v>25</v>
      </c>
      <c r="N570" s="1" t="s">
        <v>26</v>
      </c>
      <c r="O570" s="1" t="s">
        <v>26</v>
      </c>
      <c r="P570" s="1" t="s">
        <v>27</v>
      </c>
      <c r="Q570" s="1" t="s">
        <v>27</v>
      </c>
    </row>
    <row r="571" spans="1:17" ht="16.5" customHeight="1" x14ac:dyDescent="0.25">
      <c r="A571" s="1" t="s">
        <v>37</v>
      </c>
      <c r="B571" s="1" t="s">
        <v>1173</v>
      </c>
      <c r="C571" s="1" t="s">
        <v>1174</v>
      </c>
      <c r="D571" s="44"/>
      <c r="E571" s="1" t="s">
        <v>23</v>
      </c>
      <c r="F571" s="1" t="s">
        <v>24</v>
      </c>
      <c r="G571" s="1" t="s">
        <v>24</v>
      </c>
      <c r="H571" s="26">
        <v>50</v>
      </c>
      <c r="I571" s="27" t="str">
        <f>HYPERLINK("https://doc.morningstar.com/Document/883373e31a6aa24d3b33474f18009a06.msdoc?clientid=fnz&amp;key=9c0e4d166b60ffd3","TMD")</f>
        <v>TMD</v>
      </c>
      <c r="J571" t="s">
        <v>25</v>
      </c>
      <c r="K571" s="1" t="s">
        <v>26</v>
      </c>
      <c r="L571" s="1" t="s">
        <v>27</v>
      </c>
      <c r="M571" s="1" t="s">
        <v>216</v>
      </c>
      <c r="N571" s="1" t="s">
        <v>26</v>
      </c>
      <c r="O571" s="1" t="s">
        <v>26</v>
      </c>
      <c r="P571" s="1" t="s">
        <v>27</v>
      </c>
      <c r="Q571" s="1" t="s">
        <v>27</v>
      </c>
    </row>
    <row r="572" spans="1:17" ht="16.5" customHeight="1" x14ac:dyDescent="0.25">
      <c r="A572" s="1" t="s">
        <v>274</v>
      </c>
      <c r="B572" s="1" t="s">
        <v>1175</v>
      </c>
      <c r="C572" s="1" t="s">
        <v>1176</v>
      </c>
      <c r="D572" s="44"/>
      <c r="E572" s="1" t="s">
        <v>23</v>
      </c>
      <c r="F572" s="1" t="s">
        <v>24</v>
      </c>
      <c r="G572" s="1" t="s">
        <v>24</v>
      </c>
      <c r="H572" s="26">
        <v>100</v>
      </c>
      <c r="I572" s="27" t="str">
        <f>HYPERLINK("https://doc.morningstar.com/Document/e58c01df3baf45175dbdec557ce61005.msdoc?clientid=fnz&amp;key=9c0e4d166b60ffd3","TMD")</f>
        <v>TMD</v>
      </c>
      <c r="J572" t="s">
        <v>62</v>
      </c>
      <c r="K572" s="1" t="s">
        <v>25</v>
      </c>
      <c r="L572" s="1" t="s">
        <v>25</v>
      </c>
      <c r="M572" s="1" t="s">
        <v>25</v>
      </c>
      <c r="N572" s="1" t="s">
        <v>26</v>
      </c>
      <c r="O572" s="1" t="s">
        <v>27</v>
      </c>
      <c r="P572" s="1" t="s">
        <v>27</v>
      </c>
      <c r="Q572" s="1" t="s">
        <v>26</v>
      </c>
    </row>
    <row r="573" spans="1:17" ht="16.5" customHeight="1" x14ac:dyDescent="0.25">
      <c r="A573" s="1" t="s">
        <v>20</v>
      </c>
      <c r="B573" s="1" t="s">
        <v>1177</v>
      </c>
      <c r="C573" s="1" t="s">
        <v>1178</v>
      </c>
      <c r="D573" s="44"/>
      <c r="E573" s="1" t="s">
        <v>23</v>
      </c>
      <c r="F573" s="1" t="s">
        <v>24</v>
      </c>
      <c r="G573" s="1" t="s">
        <v>24</v>
      </c>
      <c r="H573" s="26">
        <v>30</v>
      </c>
      <c r="I573" s="27" t="str">
        <f>HYPERLINK("https://doc.morningstar.com/Document/0df00f693c8bdc30d6445238018a767d.msdoc?clientid=fnz&amp;key=9c0e4d166b60ffd3","TMD")</f>
        <v>TMD</v>
      </c>
      <c r="J573" t="s">
        <v>25</v>
      </c>
      <c r="K573" s="1" t="s">
        <v>25</v>
      </c>
      <c r="L573" s="1" t="s">
        <v>25</v>
      </c>
      <c r="M573" s="1" t="s">
        <v>25</v>
      </c>
      <c r="N573" s="1" t="s">
        <v>26</v>
      </c>
      <c r="O573" s="1" t="s">
        <v>26</v>
      </c>
      <c r="P573" s="1" t="s">
        <v>27</v>
      </c>
      <c r="Q573" s="1" t="s">
        <v>27</v>
      </c>
    </row>
    <row r="574" spans="1:17" ht="16.5" customHeight="1" x14ac:dyDescent="0.25">
      <c r="A574" s="1" t="s">
        <v>28</v>
      </c>
      <c r="B574" s="1" t="s">
        <v>1179</v>
      </c>
      <c r="C574" s="1" t="s">
        <v>1180</v>
      </c>
      <c r="D574" s="44"/>
      <c r="E574" s="1" t="s">
        <v>61</v>
      </c>
      <c r="F574" s="1" t="s">
        <v>24</v>
      </c>
      <c r="G574" s="1" t="s">
        <v>24</v>
      </c>
      <c r="H574" s="26">
        <v>30</v>
      </c>
      <c r="I574" s="27" t="str">
        <f>HYPERLINK("https://doc.morningstar.com/Document/7df1ba248bfdc4f86bcb8891dc33630d.msdoc?clientid=fnz&amp;key=9c0e4d166b60ffd3","TMD")</f>
        <v>TMD</v>
      </c>
      <c r="J574" t="s">
        <v>25</v>
      </c>
      <c r="K574" s="1" t="s">
        <v>25</v>
      </c>
      <c r="L574" s="1" t="s">
        <v>25</v>
      </c>
      <c r="M574" s="1" t="s">
        <v>25</v>
      </c>
      <c r="N574" s="1" t="s">
        <v>26</v>
      </c>
      <c r="O574" s="1" t="s">
        <v>26</v>
      </c>
      <c r="P574" s="1" t="s">
        <v>27</v>
      </c>
      <c r="Q574" s="1" t="s">
        <v>27</v>
      </c>
    </row>
    <row r="575" spans="1:17" ht="16.5" customHeight="1" x14ac:dyDescent="0.25">
      <c r="A575" s="1" t="s">
        <v>141</v>
      </c>
      <c r="B575" s="1" t="s">
        <v>1181</v>
      </c>
      <c r="C575" s="1" t="s">
        <v>1182</v>
      </c>
      <c r="D575" s="44"/>
      <c r="E575" s="1" t="s">
        <v>61</v>
      </c>
      <c r="F575" s="1" t="s">
        <v>24</v>
      </c>
      <c r="G575" s="1" t="s">
        <v>24</v>
      </c>
      <c r="H575" s="26">
        <v>20</v>
      </c>
      <c r="I575" s="27" t="str">
        <f>HYPERLINK("https://doc.morningstar.com/Document/7f469d18b088b48f1ecb8cde31996d18.msdoc?clientid=fnz&amp;key=9c0e4d166b60ffd3","TMD")</f>
        <v>TMD</v>
      </c>
      <c r="J575" t="s">
        <v>25</v>
      </c>
      <c r="K575" s="1" t="s">
        <v>25</v>
      </c>
      <c r="L575" s="1" t="s">
        <v>25</v>
      </c>
      <c r="M575" s="1" t="s">
        <v>25</v>
      </c>
      <c r="N575" s="1" t="s">
        <v>26</v>
      </c>
      <c r="O575" s="1" t="s">
        <v>26</v>
      </c>
      <c r="P575" s="1" t="s">
        <v>26</v>
      </c>
      <c r="Q575" s="1" t="s">
        <v>27</v>
      </c>
    </row>
    <row r="576" spans="1:17" ht="16.5" customHeight="1" x14ac:dyDescent="0.25">
      <c r="A576" s="1" t="s">
        <v>31</v>
      </c>
      <c r="B576" s="1" t="s">
        <v>1183</v>
      </c>
      <c r="C576" s="1" t="s">
        <v>1184</v>
      </c>
      <c r="D576" s="44"/>
      <c r="E576" s="1" t="s">
        <v>45</v>
      </c>
      <c r="F576" s="1" t="s">
        <v>24</v>
      </c>
      <c r="G576" s="1" t="s">
        <v>24</v>
      </c>
      <c r="H576" s="26">
        <v>100</v>
      </c>
      <c r="I576" s="27" t="str">
        <f>HYPERLINK("https://doc.morningstar.com/Document/6e6f6e8957f1cc8acd67b184342d8837.msdoc?clientid=fnz&amp;key=9c0e4d166b60ffd3","TMD")</f>
        <v>TMD</v>
      </c>
      <c r="J576" t="s">
        <v>25</v>
      </c>
      <c r="K576" s="1" t="s">
        <v>25</v>
      </c>
      <c r="L576" s="1" t="s">
        <v>25</v>
      </c>
      <c r="M576" s="1" t="s">
        <v>25</v>
      </c>
      <c r="N576" s="1" t="s">
        <v>26</v>
      </c>
      <c r="O576" s="1" t="s">
        <v>27</v>
      </c>
      <c r="P576" s="1" t="s">
        <v>27</v>
      </c>
      <c r="Q576" s="1" t="s">
        <v>26</v>
      </c>
    </row>
    <row r="577" spans="1:17" ht="16.5" customHeight="1" x14ac:dyDescent="0.25">
      <c r="A577" s="1" t="s">
        <v>68</v>
      </c>
      <c r="B577" s="1" t="s">
        <v>1185</v>
      </c>
      <c r="C577" s="1" t="s">
        <v>1186</v>
      </c>
      <c r="D577" s="44"/>
      <c r="E577" s="1" t="s">
        <v>40</v>
      </c>
      <c r="F577" s="1" t="s">
        <v>24</v>
      </c>
      <c r="G577" s="1" t="s">
        <v>24</v>
      </c>
      <c r="H577" s="26">
        <v>100</v>
      </c>
      <c r="I577" s="27" t="str">
        <f>HYPERLINK("https://doc.morningstar.com/Document/87539b02c85a77a02421f5240675ea49.msdoc?clientid=fnz&amp;key=9c0e4d166b60ffd3","TMD")</f>
        <v>TMD</v>
      </c>
      <c r="J577" t="s">
        <v>62</v>
      </c>
      <c r="K577" s="1" t="s">
        <v>25</v>
      </c>
      <c r="L577" s="1" t="s">
        <v>25</v>
      </c>
      <c r="M577" s="1" t="s">
        <v>25</v>
      </c>
      <c r="N577" s="1" t="s">
        <v>26</v>
      </c>
      <c r="O577" s="1" t="s">
        <v>27</v>
      </c>
      <c r="P577" s="1" t="s">
        <v>26</v>
      </c>
      <c r="Q577" s="1" t="s">
        <v>26</v>
      </c>
    </row>
    <row r="578" spans="1:17" ht="16.5" customHeight="1" x14ac:dyDescent="0.25">
      <c r="A578" s="1" t="s">
        <v>37</v>
      </c>
      <c r="B578" s="1" t="s">
        <v>1187</v>
      </c>
      <c r="C578" s="1" t="s">
        <v>1188</v>
      </c>
      <c r="D578" s="44"/>
      <c r="E578" s="1" t="s">
        <v>23</v>
      </c>
      <c r="F578" s="1" t="s">
        <v>24</v>
      </c>
      <c r="G578" s="1" t="s">
        <v>24</v>
      </c>
      <c r="H578" s="26">
        <v>50</v>
      </c>
      <c r="I578" s="27" t="str">
        <f>HYPERLINK("https://doc.morningstar.com/Document/e694437d4b9481c27be95ee2dbcc67e0.msdoc?clientid=fnz&amp;key=9c0e4d166b60ffd3","TMD")</f>
        <v>TMD</v>
      </c>
      <c r="J578" t="s">
        <v>25</v>
      </c>
      <c r="K578" s="1" t="s">
        <v>25</v>
      </c>
      <c r="L578" s="1" t="s">
        <v>25</v>
      </c>
      <c r="M578" s="1" t="s">
        <v>25</v>
      </c>
      <c r="N578" s="1" t="s">
        <v>26</v>
      </c>
      <c r="O578" s="1" t="s">
        <v>26</v>
      </c>
      <c r="P578" s="1" t="s">
        <v>27</v>
      </c>
      <c r="Q578" s="1" t="s">
        <v>27</v>
      </c>
    </row>
    <row r="579" spans="1:17" ht="16.5" customHeight="1" x14ac:dyDescent="0.25">
      <c r="A579" s="1" t="s">
        <v>37</v>
      </c>
      <c r="B579" s="1" t="s">
        <v>1189</v>
      </c>
      <c r="C579" s="1" t="s">
        <v>1190</v>
      </c>
      <c r="D579" s="44"/>
      <c r="E579" s="1" t="s">
        <v>23</v>
      </c>
      <c r="F579" s="1" t="s">
        <v>24</v>
      </c>
      <c r="G579" s="1" t="s">
        <v>24</v>
      </c>
      <c r="H579" s="26">
        <v>50</v>
      </c>
      <c r="I579" s="27" t="str">
        <f>HYPERLINK("https://doc.morningstar.com/Document/04f082a2fca035147d71c7cd8aab6e4d.msdoc?clientid=fnz&amp;key=9c0e4d166b60ffd3","TMD")</f>
        <v>TMD</v>
      </c>
      <c r="J579" t="s">
        <v>25</v>
      </c>
      <c r="K579" s="1" t="s">
        <v>26</v>
      </c>
      <c r="L579" s="1" t="s">
        <v>27</v>
      </c>
      <c r="M579" s="1" t="s">
        <v>216</v>
      </c>
      <c r="N579" s="1" t="s">
        <v>26</v>
      </c>
      <c r="O579" s="1" t="s">
        <v>26</v>
      </c>
      <c r="P579" s="1" t="s">
        <v>27</v>
      </c>
      <c r="Q579" s="1" t="s">
        <v>27</v>
      </c>
    </row>
    <row r="580" spans="1:17" ht="16.5" customHeight="1" x14ac:dyDescent="0.25">
      <c r="A580" s="1" t="s">
        <v>28</v>
      </c>
      <c r="B580" s="1" t="s">
        <v>1191</v>
      </c>
      <c r="C580" s="1" t="s">
        <v>1192</v>
      </c>
      <c r="D580" s="44"/>
      <c r="E580" s="1" t="s">
        <v>61</v>
      </c>
      <c r="F580" s="1" t="s">
        <v>24</v>
      </c>
      <c r="G580" s="1" t="s">
        <v>24</v>
      </c>
      <c r="H580" s="26">
        <v>30</v>
      </c>
      <c r="I580" s="27" t="str">
        <f>HYPERLINK("https://doc.morningstar.com/Document/882b07d979f8e58d4e6ede626b461964.msdoc?clientid=fnz&amp;key=9c0e4d166b60ffd3","TMD")</f>
        <v>TMD</v>
      </c>
      <c r="J580" t="s">
        <v>25</v>
      </c>
      <c r="K580" s="1" t="s">
        <v>25</v>
      </c>
      <c r="L580" s="1" t="s">
        <v>25</v>
      </c>
      <c r="M580" s="1" t="s">
        <v>25</v>
      </c>
      <c r="N580" s="1" t="s">
        <v>26</v>
      </c>
      <c r="O580" s="1" t="s">
        <v>26</v>
      </c>
      <c r="P580" s="1" t="s">
        <v>27</v>
      </c>
      <c r="Q580" s="1" t="s">
        <v>27</v>
      </c>
    </row>
    <row r="581" spans="1:17" ht="16.5" customHeight="1" x14ac:dyDescent="0.25">
      <c r="A581" s="1" t="s">
        <v>58</v>
      </c>
      <c r="B581" s="1" t="s">
        <v>1193</v>
      </c>
      <c r="C581" s="1" t="s">
        <v>1194</v>
      </c>
      <c r="D581" s="44"/>
      <c r="E581" s="1" t="s">
        <v>61</v>
      </c>
      <c r="F581" s="1" t="s">
        <v>24</v>
      </c>
      <c r="G581" s="1" t="s">
        <v>24</v>
      </c>
      <c r="H581" s="26">
        <v>100</v>
      </c>
      <c r="I581" s="27" t="str">
        <f>HYPERLINK("https://doc.morningstar.com/Document/63a425c52439d00d9576c1d75d62773d.msdoc?clientid=fnz&amp;key=9c0e4d166b60ffd3","TMD")</f>
        <v>TMD</v>
      </c>
      <c r="J581" t="s">
        <v>25</v>
      </c>
      <c r="K581" s="1" t="s">
        <v>25</v>
      </c>
      <c r="L581" s="1" t="s">
        <v>25</v>
      </c>
      <c r="M581" s="1" t="s">
        <v>25</v>
      </c>
      <c r="N581" s="1" t="s">
        <v>26</v>
      </c>
      <c r="O581" s="1" t="s">
        <v>26</v>
      </c>
      <c r="P581" s="1" t="s">
        <v>27</v>
      </c>
      <c r="Q581" s="1" t="s">
        <v>26</v>
      </c>
    </row>
    <row r="582" spans="1:17" ht="16.5" customHeight="1" x14ac:dyDescent="0.25">
      <c r="A582" s="1" t="s">
        <v>28</v>
      </c>
      <c r="B582" s="1" t="s">
        <v>1195</v>
      </c>
      <c r="C582" s="1" t="s">
        <v>1196</v>
      </c>
      <c r="D582" s="44"/>
      <c r="E582" s="1" t="s">
        <v>61</v>
      </c>
      <c r="F582" s="1" t="s">
        <v>24</v>
      </c>
      <c r="G582" s="1" t="s">
        <v>24</v>
      </c>
      <c r="H582" s="26">
        <v>30</v>
      </c>
      <c r="I582" s="27" t="str">
        <f>HYPERLINK("https://doc.morningstar.com/Document/122040e8e52511a123648ef748174a92.msdoc?clientid=fnz&amp;key=9c0e4d166b60ffd3","TMD")</f>
        <v>TMD</v>
      </c>
      <c r="J582" t="s">
        <v>25</v>
      </c>
      <c r="K582" s="1" t="s">
        <v>25</v>
      </c>
      <c r="L582" s="1" t="s">
        <v>25</v>
      </c>
      <c r="M582" s="1" t="s">
        <v>25</v>
      </c>
      <c r="N582" s="1" t="s">
        <v>26</v>
      </c>
      <c r="O582" s="1" t="s">
        <v>26</v>
      </c>
      <c r="P582" s="1" t="s">
        <v>27</v>
      </c>
      <c r="Q582" s="1" t="s">
        <v>26</v>
      </c>
    </row>
    <row r="583" spans="1:17" ht="16.5" customHeight="1" x14ac:dyDescent="0.25">
      <c r="A583" s="1" t="s">
        <v>58</v>
      </c>
      <c r="B583" s="1" t="s">
        <v>1197</v>
      </c>
      <c r="C583" s="1" t="s">
        <v>1198</v>
      </c>
      <c r="D583" s="44"/>
      <c r="E583" s="1" t="s">
        <v>61</v>
      </c>
      <c r="F583" s="1" t="s">
        <v>24</v>
      </c>
      <c r="G583" s="1" t="s">
        <v>24</v>
      </c>
      <c r="H583" s="26">
        <v>100</v>
      </c>
      <c r="I583" s="27" t="str">
        <f>HYPERLINK("https://doc.morningstar.com/Document/7353b7c017206c13fbea7ee63aa43c21.msdoc?clientid=fnz&amp;key=9c0e4d166b60ffd3","TMD")</f>
        <v>TMD</v>
      </c>
      <c r="J583" t="s">
        <v>25</v>
      </c>
      <c r="K583" s="1" t="s">
        <v>25</v>
      </c>
      <c r="L583" s="1" t="s">
        <v>25</v>
      </c>
      <c r="M583" s="1" t="s">
        <v>25</v>
      </c>
      <c r="N583" s="1" t="s">
        <v>26</v>
      </c>
      <c r="O583" s="1" t="s">
        <v>26</v>
      </c>
      <c r="P583" s="1" t="s">
        <v>27</v>
      </c>
      <c r="Q583" s="1" t="s">
        <v>26</v>
      </c>
    </row>
    <row r="584" spans="1:17" ht="16.5" customHeight="1" x14ac:dyDescent="0.25">
      <c r="A584" s="1" t="s">
        <v>28</v>
      </c>
      <c r="B584" s="1" t="s">
        <v>1199</v>
      </c>
      <c r="C584" s="1" t="s">
        <v>1200</v>
      </c>
      <c r="D584" s="44"/>
      <c r="E584" s="1" t="s">
        <v>61</v>
      </c>
      <c r="F584" s="1" t="s">
        <v>24</v>
      </c>
      <c r="G584" s="1" t="s">
        <v>24</v>
      </c>
      <c r="H584" s="26">
        <v>30</v>
      </c>
      <c r="I584" s="27" t="str">
        <f>HYPERLINK("https://doc.morningstar.com/Document/7657e86025da7b1038bda2b4756da0ee.msdoc?clientid=fnz&amp;key=9c0e4d166b60ffd3","TMD")</f>
        <v>TMD</v>
      </c>
      <c r="J584" t="s">
        <v>25</v>
      </c>
      <c r="K584" s="1" t="s">
        <v>25</v>
      </c>
      <c r="L584" s="1" t="s">
        <v>25</v>
      </c>
      <c r="M584" s="1" t="s">
        <v>25</v>
      </c>
      <c r="N584" s="1" t="s">
        <v>26</v>
      </c>
      <c r="O584" s="1" t="s">
        <v>26</v>
      </c>
      <c r="P584" s="1" t="s">
        <v>27</v>
      </c>
      <c r="Q584" s="1" t="s">
        <v>26</v>
      </c>
    </row>
    <row r="585" spans="1:17" ht="16.5" customHeight="1" x14ac:dyDescent="0.25">
      <c r="A585" s="1" t="s">
        <v>225</v>
      </c>
      <c r="B585" s="1" t="s">
        <v>1201</v>
      </c>
      <c r="C585" s="1" t="s">
        <v>1202</v>
      </c>
      <c r="D585" s="44"/>
      <c r="E585" s="1" t="s">
        <v>61</v>
      </c>
      <c r="F585" s="1" t="s">
        <v>24</v>
      </c>
      <c r="G585" s="1" t="s">
        <v>24</v>
      </c>
      <c r="H585" s="26">
        <v>30</v>
      </c>
      <c r="I585" s="27" t="str">
        <f>HYPERLINK("https://doc.morningstar.com/Document/3637db3de2710775fe9f58e20372ce1a.msdoc?clientid=fnz&amp;key=9c0e4d166b60ffd3","TMD")</f>
        <v>TMD</v>
      </c>
      <c r="J585" t="s">
        <v>25</v>
      </c>
      <c r="K585" s="1" t="s">
        <v>25</v>
      </c>
      <c r="L585" s="1" t="s">
        <v>25</v>
      </c>
      <c r="M585" s="1" t="s">
        <v>25</v>
      </c>
      <c r="N585" s="1" t="s">
        <v>26</v>
      </c>
      <c r="O585" s="1" t="s">
        <v>26</v>
      </c>
      <c r="P585" s="1" t="s">
        <v>27</v>
      </c>
      <c r="Q585" s="1" t="s">
        <v>26</v>
      </c>
    </row>
    <row r="586" spans="1:17" ht="16.5" customHeight="1" x14ac:dyDescent="0.25">
      <c r="A586" s="1" t="s">
        <v>28</v>
      </c>
      <c r="B586" s="1" t="s">
        <v>1203</v>
      </c>
      <c r="C586" s="1" t="s">
        <v>1204</v>
      </c>
      <c r="D586" s="44"/>
      <c r="E586" s="1" t="s">
        <v>61</v>
      </c>
      <c r="F586" s="1" t="s">
        <v>24</v>
      </c>
      <c r="G586" s="1" t="s">
        <v>24</v>
      </c>
      <c r="H586" s="26">
        <v>30</v>
      </c>
      <c r="I586" s="27" t="str">
        <f>HYPERLINK("https://doc.morningstar.com/Document/7657e86025da7b10c38a6000fff8ab36.msdoc?clientid=fnz&amp;key=9c0e4d166b60ffd3","TMD")</f>
        <v>TMD</v>
      </c>
      <c r="J586" t="s">
        <v>25</v>
      </c>
      <c r="K586" s="1" t="s">
        <v>25</v>
      </c>
      <c r="L586" s="1" t="s">
        <v>25</v>
      </c>
      <c r="M586" s="1" t="s">
        <v>25</v>
      </c>
      <c r="N586" s="1" t="s">
        <v>26</v>
      </c>
      <c r="O586" s="1" t="s">
        <v>26</v>
      </c>
      <c r="P586" s="1" t="s">
        <v>27</v>
      </c>
      <c r="Q586" s="1" t="s">
        <v>26</v>
      </c>
    </row>
    <row r="587" spans="1:17" ht="16.5" customHeight="1" x14ac:dyDescent="0.25">
      <c r="A587" s="1" t="s">
        <v>28</v>
      </c>
      <c r="B587" s="1" t="s">
        <v>1205</v>
      </c>
      <c r="C587" s="1" t="s">
        <v>1206</v>
      </c>
      <c r="D587" s="44"/>
      <c r="E587" s="1" t="s">
        <v>61</v>
      </c>
      <c r="F587" s="1" t="s">
        <v>24</v>
      </c>
      <c r="G587" s="1" t="s">
        <v>24</v>
      </c>
      <c r="H587" s="26">
        <v>30</v>
      </c>
      <c r="I587" s="27" t="str">
        <f>HYPERLINK("https://doc.morningstar.com/Document/660eea8af81d39ce2a98fc840735054e.msdoc?clientid=fnz&amp;key=9c0e4d166b60ffd3","TMD")</f>
        <v>TMD</v>
      </c>
      <c r="J587" t="s">
        <v>25</v>
      </c>
      <c r="K587" s="1" t="s">
        <v>25</v>
      </c>
      <c r="L587" s="1" t="s">
        <v>25</v>
      </c>
      <c r="M587" s="1" t="s">
        <v>25</v>
      </c>
      <c r="N587" s="1" t="s">
        <v>26</v>
      </c>
      <c r="O587" s="1" t="s">
        <v>26</v>
      </c>
      <c r="P587" s="1" t="s">
        <v>27</v>
      </c>
      <c r="Q587" s="1" t="s">
        <v>26</v>
      </c>
    </row>
    <row r="588" spans="1:17" ht="16.5" customHeight="1" x14ac:dyDescent="0.25">
      <c r="A588" s="1" t="s">
        <v>58</v>
      </c>
      <c r="B588" s="1" t="s">
        <v>1207</v>
      </c>
      <c r="C588" s="1" t="s">
        <v>1208</v>
      </c>
      <c r="D588" s="44"/>
      <c r="E588" s="1" t="s">
        <v>61</v>
      </c>
      <c r="F588" s="1" t="s">
        <v>24</v>
      </c>
      <c r="G588" s="1" t="s">
        <v>24</v>
      </c>
      <c r="H588" s="26">
        <v>100</v>
      </c>
      <c r="I588" s="27" t="str">
        <f>HYPERLINK("https://doc.morningstar.com/Document/cd176509b2176aaa47aff3d39595ed95.msdoc?clientid=fnz&amp;key=9c0e4d166b60ffd3","TMD")</f>
        <v>TMD</v>
      </c>
      <c r="J588" t="s">
        <v>25</v>
      </c>
      <c r="K588" s="1" t="s">
        <v>25</v>
      </c>
      <c r="L588" s="1" t="s">
        <v>25</v>
      </c>
      <c r="M588" s="1" t="s">
        <v>25</v>
      </c>
      <c r="N588" s="1" t="s">
        <v>26</v>
      </c>
      <c r="O588" s="1" t="s">
        <v>26</v>
      </c>
      <c r="P588" s="1" t="s">
        <v>27</v>
      </c>
      <c r="Q588" s="1" t="s">
        <v>26</v>
      </c>
    </row>
    <row r="589" spans="1:17" ht="16.5" customHeight="1" x14ac:dyDescent="0.25">
      <c r="A589" s="1" t="s">
        <v>28</v>
      </c>
      <c r="B589" s="1" t="s">
        <v>1209</v>
      </c>
      <c r="C589" s="1" t="s">
        <v>1210</v>
      </c>
      <c r="D589" s="44"/>
      <c r="E589" s="1" t="s">
        <v>61</v>
      </c>
      <c r="F589" s="1" t="s">
        <v>24</v>
      </c>
      <c r="G589" s="1" t="s">
        <v>24</v>
      </c>
      <c r="H589" s="26">
        <v>30</v>
      </c>
      <c r="I589" s="27" t="str">
        <f>HYPERLINK("https://doc.morningstar.com/Document/a0dfca30d827decbb4951dd19d2e68f4.msdoc?clientid=fnz&amp;key=9c0e4d166b60ffd3","TMD")</f>
        <v>TMD</v>
      </c>
      <c r="J589" t="s">
        <v>25</v>
      </c>
      <c r="K589" s="1" t="s">
        <v>25</v>
      </c>
      <c r="L589" s="1" t="s">
        <v>25</v>
      </c>
      <c r="M589" s="1" t="s">
        <v>25</v>
      </c>
      <c r="N589" s="1" t="s">
        <v>26</v>
      </c>
      <c r="O589" s="1" t="s">
        <v>26</v>
      </c>
      <c r="P589" s="1" t="s">
        <v>27</v>
      </c>
      <c r="Q589" s="1" t="s">
        <v>26</v>
      </c>
    </row>
    <row r="590" spans="1:17" ht="16.5" customHeight="1" x14ac:dyDescent="0.25">
      <c r="A590" s="1" t="s">
        <v>31</v>
      </c>
      <c r="B590" s="1" t="s">
        <v>1211</v>
      </c>
      <c r="C590" s="1" t="s">
        <v>1212</v>
      </c>
      <c r="D590" s="44"/>
      <c r="E590" s="1" t="s">
        <v>61</v>
      </c>
      <c r="F590" s="1" t="s">
        <v>24</v>
      </c>
      <c r="G590" s="1" t="s">
        <v>24</v>
      </c>
      <c r="H590" s="26">
        <v>100</v>
      </c>
      <c r="I590" s="27" t="str">
        <f>HYPERLINK("https://doc.morningstar.com/Document/d65fa80d97a9856759f8d1e4e4ea8d6f.msdoc?clientid=fnz&amp;key=9c0e4d166b60ffd3","TMD")</f>
        <v>TMD</v>
      </c>
      <c r="J590" t="s">
        <v>25</v>
      </c>
      <c r="K590" s="1" t="s">
        <v>25</v>
      </c>
      <c r="L590" s="1" t="s">
        <v>25</v>
      </c>
      <c r="M590" s="1" t="s">
        <v>25</v>
      </c>
      <c r="N590" s="1" t="s">
        <v>26</v>
      </c>
      <c r="O590" s="1" t="s">
        <v>26</v>
      </c>
      <c r="P590" s="1" t="s">
        <v>27</v>
      </c>
      <c r="Q590" s="1" t="s">
        <v>26</v>
      </c>
    </row>
    <row r="591" spans="1:17" ht="16.5" customHeight="1" x14ac:dyDescent="0.25">
      <c r="A591" s="1" t="s">
        <v>281</v>
      </c>
      <c r="B591" s="1" t="s">
        <v>1213</v>
      </c>
      <c r="C591" s="1" t="s">
        <v>1214</v>
      </c>
      <c r="D591" s="44"/>
      <c r="E591" s="1" t="s">
        <v>40</v>
      </c>
      <c r="F591" s="1" t="s">
        <v>24</v>
      </c>
      <c r="G591" s="1" t="s">
        <v>24</v>
      </c>
      <c r="H591" s="26">
        <v>100</v>
      </c>
      <c r="I591" s="27" t="str">
        <f>HYPERLINK("https://doc.morningstar.com/Document/22687670781152199858cb86b96c9380.msdoc?clientid=fnz&amp;key=9c0e4d166b60ffd3","TMD")</f>
        <v>TMD</v>
      </c>
      <c r="J591" t="s">
        <v>25</v>
      </c>
      <c r="K591" s="1" t="s">
        <v>25</v>
      </c>
      <c r="L591" s="1" t="s">
        <v>25</v>
      </c>
      <c r="M591" s="1" t="s">
        <v>25</v>
      </c>
      <c r="N591" s="1" t="s">
        <v>27</v>
      </c>
      <c r="O591" s="1" t="s">
        <v>27</v>
      </c>
      <c r="P591" s="1" t="s">
        <v>26</v>
      </c>
      <c r="Q591" s="1" t="s">
        <v>26</v>
      </c>
    </row>
    <row r="592" spans="1:17" ht="16.5" customHeight="1" x14ac:dyDescent="0.25">
      <c r="A592" s="1" t="s">
        <v>281</v>
      </c>
      <c r="B592" s="1" t="s">
        <v>1215</v>
      </c>
      <c r="C592" s="1" t="s">
        <v>1216</v>
      </c>
      <c r="D592" s="44"/>
      <c r="E592" s="1" t="s">
        <v>40</v>
      </c>
      <c r="F592" s="1" t="s">
        <v>24</v>
      </c>
      <c r="G592" s="1" t="s">
        <v>24</v>
      </c>
      <c r="H592" s="26">
        <v>100</v>
      </c>
      <c r="I592" s="27" t="str">
        <f>HYPERLINK("https://doc.morningstar.com/Document/22687670781152199858cb86b96c9380.msdoc?clientid=fnz&amp;key=9c0e4d166b60ffd3","TMD")</f>
        <v>TMD</v>
      </c>
      <c r="J592" t="s">
        <v>25</v>
      </c>
      <c r="K592" s="1" t="s">
        <v>25</v>
      </c>
      <c r="L592" s="1" t="s">
        <v>25</v>
      </c>
      <c r="M592" s="1" t="s">
        <v>25</v>
      </c>
      <c r="N592" s="1" t="s">
        <v>27</v>
      </c>
      <c r="O592" s="1" t="s">
        <v>27</v>
      </c>
      <c r="P592" s="1" t="s">
        <v>26</v>
      </c>
      <c r="Q592" s="1" t="s">
        <v>26</v>
      </c>
    </row>
    <row r="593" spans="1:17" ht="16.5" customHeight="1" x14ac:dyDescent="0.25">
      <c r="A593" s="1" t="s">
        <v>31</v>
      </c>
      <c r="B593" s="1" t="s">
        <v>1217</v>
      </c>
      <c r="C593" s="1" t="s">
        <v>1218</v>
      </c>
      <c r="D593" s="44"/>
      <c r="E593" s="1" t="s">
        <v>40</v>
      </c>
      <c r="F593" s="1" t="s">
        <v>24</v>
      </c>
      <c r="G593" s="1" t="s">
        <v>24</v>
      </c>
      <c r="H593" s="26">
        <v>100</v>
      </c>
      <c r="I593" s="27" t="str">
        <f>HYPERLINK("https://doc.morningstar.com/Document/a630886583e10819923afad5fe196707.msdoc?clientid=fnz&amp;key=9c0e4d166b60ffd3","TMD")</f>
        <v>TMD</v>
      </c>
      <c r="J593" t="s">
        <v>25</v>
      </c>
      <c r="K593" s="1" t="s">
        <v>25</v>
      </c>
      <c r="L593" s="1" t="s">
        <v>25</v>
      </c>
      <c r="M593" s="1" t="s">
        <v>25</v>
      </c>
      <c r="N593" s="1" t="s">
        <v>26</v>
      </c>
      <c r="O593" s="1" t="s">
        <v>26</v>
      </c>
      <c r="P593" s="1" t="s">
        <v>26</v>
      </c>
      <c r="Q593" s="1" t="s">
        <v>27</v>
      </c>
    </row>
    <row r="594" spans="1:17" ht="16.5" customHeight="1" x14ac:dyDescent="0.25">
      <c r="A594" s="1" t="s">
        <v>58</v>
      </c>
      <c r="B594" s="1" t="s">
        <v>1219</v>
      </c>
      <c r="C594" s="1" t="s">
        <v>1220</v>
      </c>
      <c r="D594" s="44"/>
      <c r="E594" s="1" t="s">
        <v>61</v>
      </c>
      <c r="F594" s="1" t="s">
        <v>24</v>
      </c>
      <c r="G594" s="1" t="s">
        <v>24</v>
      </c>
      <c r="H594" s="26">
        <v>100</v>
      </c>
      <c r="I594" s="27" t="str">
        <f>HYPERLINK("https://doc.morningstar.com/Document/a0570be8936ff286513b20a0b438073c.msdoc?clientid=fnz&amp;key=9c0e4d166b60ffd3","TMD")</f>
        <v>TMD</v>
      </c>
      <c r="J594" t="s">
        <v>25</v>
      </c>
      <c r="K594" s="1" t="s">
        <v>25</v>
      </c>
      <c r="L594" s="1" t="s">
        <v>25</v>
      </c>
      <c r="M594" s="1" t="s">
        <v>25</v>
      </c>
      <c r="N594" s="1" t="s">
        <v>26</v>
      </c>
      <c r="O594" s="1" t="s">
        <v>26</v>
      </c>
      <c r="P594" s="1" t="s">
        <v>26</v>
      </c>
      <c r="Q594" s="1" t="s">
        <v>27</v>
      </c>
    </row>
    <row r="595" spans="1:17" ht="16.5" customHeight="1" x14ac:dyDescent="0.25">
      <c r="A595" s="1" t="s">
        <v>28</v>
      </c>
      <c r="B595" s="1" t="s">
        <v>1221</v>
      </c>
      <c r="C595" s="1" t="s">
        <v>1222</v>
      </c>
      <c r="D595" s="44"/>
      <c r="E595" s="1" t="s">
        <v>40</v>
      </c>
      <c r="F595" s="1" t="s">
        <v>24</v>
      </c>
      <c r="G595" s="1" t="s">
        <v>24</v>
      </c>
      <c r="H595" s="26">
        <v>30</v>
      </c>
      <c r="I595" s="27" t="str">
        <f>HYPERLINK("https://doc.morningstar.com/Document/0c4fa10a2f3e2b5ae81fe917516cc849.msdoc?clientid=fnz&amp;key=9c0e4d166b60ffd3","TMD")</f>
        <v>TMD</v>
      </c>
      <c r="J595" t="s">
        <v>25</v>
      </c>
      <c r="K595" s="1" t="s">
        <v>25</v>
      </c>
      <c r="L595" s="1" t="s">
        <v>25</v>
      </c>
      <c r="M595" s="1" t="s">
        <v>25</v>
      </c>
      <c r="N595" s="1" t="s">
        <v>26</v>
      </c>
      <c r="O595" s="1" t="s">
        <v>26</v>
      </c>
      <c r="P595" s="1" t="s">
        <v>26</v>
      </c>
      <c r="Q595" s="1" t="s">
        <v>27</v>
      </c>
    </row>
    <row r="596" spans="1:17" ht="16.5" customHeight="1" x14ac:dyDescent="0.25">
      <c r="A596" s="1" t="s">
        <v>31</v>
      </c>
      <c r="B596" s="1" t="s">
        <v>1223</v>
      </c>
      <c r="C596" s="1" t="s">
        <v>1224</v>
      </c>
      <c r="D596" s="44"/>
      <c r="E596" s="1" t="s">
        <v>40</v>
      </c>
      <c r="F596" s="1" t="s">
        <v>24</v>
      </c>
      <c r="G596" s="1" t="s">
        <v>24</v>
      </c>
      <c r="H596" s="26">
        <v>100</v>
      </c>
      <c r="I596" s="27" t="str">
        <f>HYPERLINK("https://doc.morningstar.com/Document/e7e6db233b5dc75007a659da8186d3be.msdoc?clientid=fnz&amp;key=9c0e4d166b60ffd3","TMD")</f>
        <v>TMD</v>
      </c>
      <c r="J596" t="s">
        <v>25</v>
      </c>
      <c r="K596" s="1" t="s">
        <v>25</v>
      </c>
      <c r="L596" s="1" t="s">
        <v>25</v>
      </c>
      <c r="M596" s="1" t="s">
        <v>25</v>
      </c>
      <c r="N596" s="1" t="s">
        <v>26</v>
      </c>
      <c r="O596" s="1" t="s">
        <v>26</v>
      </c>
      <c r="P596" s="1" t="s">
        <v>26</v>
      </c>
      <c r="Q596" s="1" t="s">
        <v>27</v>
      </c>
    </row>
    <row r="597" spans="1:17" ht="16.5" customHeight="1" x14ac:dyDescent="0.25">
      <c r="A597" s="1" t="s">
        <v>281</v>
      </c>
      <c r="B597" s="1" t="s">
        <v>1225</v>
      </c>
      <c r="C597" s="1" t="s">
        <v>1226</v>
      </c>
      <c r="D597" s="44"/>
      <c r="E597" s="1" t="s">
        <v>40</v>
      </c>
      <c r="F597" s="1" t="s">
        <v>24</v>
      </c>
      <c r="G597" s="1" t="s">
        <v>24</v>
      </c>
      <c r="H597" s="26">
        <v>100</v>
      </c>
      <c r="I597" s="27" t="str">
        <f>HYPERLINK("https://doc.morningstar.com/Document/0c4fa10a2f3e2b5abba9b90634630828.msdoc?clientid=fnz&amp;key=9c0e4d166b60ffd3","TMD")</f>
        <v>TMD</v>
      </c>
      <c r="J597" t="s">
        <v>25</v>
      </c>
      <c r="K597" s="1" t="s">
        <v>25</v>
      </c>
      <c r="L597" s="1" t="s">
        <v>25</v>
      </c>
      <c r="M597" s="1" t="s">
        <v>25</v>
      </c>
      <c r="N597" s="1" t="s">
        <v>26</v>
      </c>
      <c r="O597" s="1" t="s">
        <v>27</v>
      </c>
      <c r="P597" s="1" t="s">
        <v>26</v>
      </c>
      <c r="Q597" s="1" t="s">
        <v>26</v>
      </c>
    </row>
    <row r="598" spans="1:17" ht="16.5" customHeight="1" x14ac:dyDescent="0.25">
      <c r="A598" s="1" t="s">
        <v>318</v>
      </c>
      <c r="B598" s="1" t="s">
        <v>1227</v>
      </c>
      <c r="C598" s="1" t="s">
        <v>1228</v>
      </c>
      <c r="D598" s="44"/>
      <c r="E598" s="1" t="s">
        <v>40</v>
      </c>
      <c r="F598" s="1" t="s">
        <v>24</v>
      </c>
      <c r="G598" s="1" t="s">
        <v>24</v>
      </c>
      <c r="H598" s="26">
        <v>100</v>
      </c>
      <c r="I598" s="27" t="str">
        <f>HYPERLINK("https://doc.morningstar.com/Document/a2c0407a0c5800873db603ddfc25727c.msdoc?clientid=fnz&amp;key=9c0e4d166b60ffd3","TMD")</f>
        <v>TMD</v>
      </c>
      <c r="J598" t="s">
        <v>25</v>
      </c>
      <c r="K598" s="1" t="s">
        <v>25</v>
      </c>
      <c r="L598" s="1" t="s">
        <v>25</v>
      </c>
      <c r="M598" s="1" t="s">
        <v>25</v>
      </c>
      <c r="N598" s="1" t="s">
        <v>27</v>
      </c>
      <c r="O598" s="1" t="s">
        <v>26</v>
      </c>
      <c r="P598" s="1" t="s">
        <v>26</v>
      </c>
      <c r="Q598" s="1" t="s">
        <v>26</v>
      </c>
    </row>
    <row r="599" spans="1:17" ht="16.5" customHeight="1" x14ac:dyDescent="0.25">
      <c r="A599" s="1" t="s">
        <v>281</v>
      </c>
      <c r="B599" s="1" t="s">
        <v>1229</v>
      </c>
      <c r="C599" s="1" t="s">
        <v>1230</v>
      </c>
      <c r="D599" s="44"/>
      <c r="E599" s="1" t="s">
        <v>40</v>
      </c>
      <c r="F599" s="1" t="s">
        <v>24</v>
      </c>
      <c r="G599" s="1" t="s">
        <v>24</v>
      </c>
      <c r="H599" s="26">
        <v>100</v>
      </c>
      <c r="I599" s="27" t="str">
        <f>HYPERLINK("https://doc.morningstar.com/Document/8e3fcb6e3f2950d8f2ed7d805096bec3.msdoc?clientid=fnz&amp;key=9c0e4d166b60ffd3","TMD")</f>
        <v>TMD</v>
      </c>
      <c r="J599" t="s">
        <v>25</v>
      </c>
      <c r="K599" s="1" t="s">
        <v>25</v>
      </c>
      <c r="L599" s="1" t="s">
        <v>25</v>
      </c>
      <c r="M599" s="1" t="s">
        <v>25</v>
      </c>
      <c r="N599" s="1" t="s">
        <v>27</v>
      </c>
      <c r="O599" s="1" t="s">
        <v>27</v>
      </c>
      <c r="P599" s="1" t="s">
        <v>26</v>
      </c>
      <c r="Q599" s="1" t="s">
        <v>26</v>
      </c>
    </row>
    <row r="600" spans="1:17" ht="16.5" customHeight="1" x14ac:dyDescent="0.25">
      <c r="A600" s="1" t="s">
        <v>184</v>
      </c>
      <c r="B600" s="1" t="s">
        <v>1231</v>
      </c>
      <c r="C600" s="1" t="s">
        <v>1232</v>
      </c>
      <c r="D600" s="44"/>
      <c r="E600" s="1" t="s">
        <v>40</v>
      </c>
      <c r="F600" s="1" t="s">
        <v>24</v>
      </c>
      <c r="G600" s="1" t="s">
        <v>24</v>
      </c>
      <c r="H600" s="26">
        <v>100</v>
      </c>
      <c r="I600" s="27" t="str">
        <f>HYPERLINK("https://doc.morningstar.com/Document/8e3fcb6e3f2950d89feea2202b7111d2.msdoc?clientid=fnz&amp;key=9c0e4d166b60ffd3","TMD")</f>
        <v>TMD</v>
      </c>
      <c r="J600" t="s">
        <v>25</v>
      </c>
      <c r="K600" s="1" t="s">
        <v>25</v>
      </c>
      <c r="L600" s="1" t="s">
        <v>25</v>
      </c>
      <c r="M600" s="1" t="s">
        <v>25</v>
      </c>
      <c r="N600" s="1" t="s">
        <v>27</v>
      </c>
      <c r="O600" s="1" t="s">
        <v>27</v>
      </c>
      <c r="P600" s="1" t="s">
        <v>26</v>
      </c>
      <c r="Q600" s="1" t="s">
        <v>26</v>
      </c>
    </row>
    <row r="601" spans="1:17" ht="16.5" customHeight="1" x14ac:dyDescent="0.25">
      <c r="A601" s="1" t="s">
        <v>109</v>
      </c>
      <c r="B601" s="1" t="s">
        <v>1233</v>
      </c>
      <c r="C601" s="1" t="s">
        <v>1234</v>
      </c>
      <c r="D601" s="44"/>
      <c r="E601" s="1" t="s">
        <v>23</v>
      </c>
      <c r="F601" s="1" t="s">
        <v>24</v>
      </c>
      <c r="G601" s="1" t="s">
        <v>24</v>
      </c>
      <c r="H601" s="26">
        <v>100</v>
      </c>
      <c r="I601" s="27" t="str">
        <f>HYPERLINK("https://doc.morningstar.com/Document/ec654833ae862045d65c5175cd4d3728.msdoc?clientid=fnz&amp;key=9c0e4d166b60ffd3","TMD")</f>
        <v>TMD</v>
      </c>
      <c r="J601" t="s">
        <v>62</v>
      </c>
      <c r="K601" s="1" t="s">
        <v>26</v>
      </c>
      <c r="L601" s="1" t="s">
        <v>27</v>
      </c>
      <c r="M601" s="1" t="s">
        <v>27</v>
      </c>
      <c r="N601" s="1" t="s">
        <v>26</v>
      </c>
      <c r="O601" s="1" t="s">
        <v>27</v>
      </c>
      <c r="P601" s="1" t="s">
        <v>26</v>
      </c>
      <c r="Q601" s="1" t="s">
        <v>26</v>
      </c>
    </row>
    <row r="602" spans="1:17" ht="16.5" customHeight="1" x14ac:dyDescent="0.25">
      <c r="A602" s="1" t="s">
        <v>31</v>
      </c>
      <c r="B602" s="1" t="s">
        <v>1235</v>
      </c>
      <c r="C602" s="1" t="s">
        <v>1236</v>
      </c>
      <c r="D602" s="44"/>
      <c r="E602" s="1" t="s">
        <v>40</v>
      </c>
      <c r="F602" s="1" t="s">
        <v>24</v>
      </c>
      <c r="G602" s="1" t="s">
        <v>24</v>
      </c>
      <c r="H602" s="26">
        <v>100</v>
      </c>
      <c r="I602" s="27" t="str">
        <f>HYPERLINK("https://doc.morningstar.com/Document/6177bb2210373ae2e9e40b28078308a0.msdoc?clientid=fnz&amp;key=9c0e4d166b60ffd3","TMD")</f>
        <v>TMD</v>
      </c>
      <c r="J602" t="s">
        <v>25</v>
      </c>
      <c r="K602" s="1" t="s">
        <v>25</v>
      </c>
      <c r="L602" s="1" t="s">
        <v>25</v>
      </c>
      <c r="M602" s="1" t="s">
        <v>25</v>
      </c>
      <c r="N602" s="1" t="s">
        <v>26</v>
      </c>
      <c r="O602" s="1" t="s">
        <v>26</v>
      </c>
      <c r="P602" s="1" t="s">
        <v>27</v>
      </c>
      <c r="Q602" s="1" t="s">
        <v>27</v>
      </c>
    </row>
    <row r="603" spans="1:17" ht="16.5" customHeight="1" x14ac:dyDescent="0.25">
      <c r="A603" s="1" t="s">
        <v>31</v>
      </c>
      <c r="B603" s="1" t="s">
        <v>1237</v>
      </c>
      <c r="C603" s="1" t="s">
        <v>1238</v>
      </c>
      <c r="D603" s="44"/>
      <c r="E603" s="1" t="s">
        <v>23</v>
      </c>
      <c r="F603" s="1" t="s">
        <v>24</v>
      </c>
      <c r="G603" s="1" t="s">
        <v>24</v>
      </c>
      <c r="H603" s="26">
        <v>100</v>
      </c>
      <c r="I603" s="27" t="str">
        <f>HYPERLINK("https://doc.morningstar.com/Document/3dabf4e8d126ab4e6339866a6e556f7a.msdoc?clientid=fnz&amp;key=9c0e4d166b60ffd3","TMD")</f>
        <v>TMD</v>
      </c>
      <c r="J603" t="s">
        <v>25</v>
      </c>
      <c r="K603" s="1" t="s">
        <v>25</v>
      </c>
      <c r="L603" s="1" t="s">
        <v>25</v>
      </c>
      <c r="M603" s="1" t="s">
        <v>25</v>
      </c>
      <c r="N603" s="1" t="s">
        <v>26</v>
      </c>
      <c r="O603" s="1" t="s">
        <v>26</v>
      </c>
      <c r="P603" s="1" t="s">
        <v>27</v>
      </c>
      <c r="Q603" s="1" t="s">
        <v>27</v>
      </c>
    </row>
    <row r="604" spans="1:17" ht="16.5" customHeight="1" x14ac:dyDescent="0.25">
      <c r="A604" s="1" t="s">
        <v>34</v>
      </c>
      <c r="B604" s="1" t="s">
        <v>1239</v>
      </c>
      <c r="C604" s="1" t="s">
        <v>1240</v>
      </c>
      <c r="D604" s="44"/>
      <c r="E604" s="1" t="s">
        <v>61</v>
      </c>
      <c r="F604" s="1" t="s">
        <v>24</v>
      </c>
      <c r="G604" s="1" t="s">
        <v>24</v>
      </c>
      <c r="H604" s="26">
        <v>30</v>
      </c>
      <c r="I604" s="27" t="str">
        <f>HYPERLINK("https://doc.morningstar.com/Document/30030bc7163a5b8c5895119e3bf98642.msdoc?clientid=fnz&amp;key=9c0e4d166b60ffd3","TMD")</f>
        <v>TMD</v>
      </c>
      <c r="J604" t="s">
        <v>25</v>
      </c>
      <c r="K604" s="1" t="s">
        <v>26</v>
      </c>
      <c r="L604" s="1" t="s">
        <v>27</v>
      </c>
      <c r="M604" s="1" t="s">
        <v>27</v>
      </c>
      <c r="N604" s="1" t="s">
        <v>26</v>
      </c>
      <c r="O604" s="1" t="s">
        <v>216</v>
      </c>
      <c r="P604" s="1" t="s">
        <v>27</v>
      </c>
      <c r="Q604" s="1" t="s">
        <v>27</v>
      </c>
    </row>
    <row r="605" spans="1:17" ht="16.5" customHeight="1" x14ac:dyDescent="0.25">
      <c r="A605" s="1" t="s">
        <v>31</v>
      </c>
      <c r="B605" s="1" t="s">
        <v>1241</v>
      </c>
      <c r="C605" s="1" t="s">
        <v>1242</v>
      </c>
      <c r="D605" s="44"/>
      <c r="E605" s="1" t="s">
        <v>40</v>
      </c>
      <c r="F605" s="1" t="s">
        <v>24</v>
      </c>
      <c r="G605" s="1" t="s">
        <v>24</v>
      </c>
      <c r="H605" s="26">
        <v>100</v>
      </c>
      <c r="I605" s="41" t="str">
        <f>HYPERLINK("https://doc.morningstar.com/Document/1ce3d4379b86e6b61c2cc07541e33650.msdoc?clientid=fnz&amp;key=9c0e4d166b60ffd3","TMD")</f>
        <v>TMD</v>
      </c>
      <c r="J605" t="s">
        <v>25</v>
      </c>
      <c r="K605" s="1" t="s">
        <v>25</v>
      </c>
      <c r="L605" s="1" t="s">
        <v>25</v>
      </c>
      <c r="M605" s="1" t="s">
        <v>25</v>
      </c>
      <c r="N605" s="1" t="s">
        <v>26</v>
      </c>
      <c r="O605" s="1" t="s">
        <v>26</v>
      </c>
      <c r="P605" s="1" t="s">
        <v>27</v>
      </c>
      <c r="Q605" s="1" t="s">
        <v>27</v>
      </c>
    </row>
    <row r="606" spans="1:17" ht="16.5" customHeight="1" x14ac:dyDescent="0.25">
      <c r="A606" s="5" t="s">
        <v>184</v>
      </c>
      <c r="B606" s="1" t="s">
        <v>1243</v>
      </c>
      <c r="C606" s="1" t="s">
        <v>1244</v>
      </c>
      <c r="D606" s="44"/>
      <c r="E606" s="1" t="s">
        <v>40</v>
      </c>
      <c r="F606" s="1" t="s">
        <v>24</v>
      </c>
      <c r="G606" s="1" t="s">
        <v>24</v>
      </c>
      <c r="H606" s="26">
        <v>100</v>
      </c>
      <c r="I606" s="27" t="str">
        <f>HYPERLINK("https://doc.morningstar.com/Document/b76217cda052999c4877c1a403b50705.msdoc?clientid=fnz&amp;key=9c0e4d166b60ffd3","TMD")</f>
        <v>TMD</v>
      </c>
      <c r="J606" t="s">
        <v>25</v>
      </c>
      <c r="K606" s="1" t="s">
        <v>25</v>
      </c>
      <c r="L606" s="1" t="s">
        <v>25</v>
      </c>
      <c r="M606" s="1" t="s">
        <v>25</v>
      </c>
      <c r="N606" s="1" t="s">
        <v>26</v>
      </c>
      <c r="O606" s="1" t="s">
        <v>27</v>
      </c>
      <c r="P606" s="1" t="s">
        <v>26</v>
      </c>
      <c r="Q606" s="1" t="s">
        <v>26</v>
      </c>
    </row>
    <row r="607" spans="1:17" ht="16.5" customHeight="1" x14ac:dyDescent="0.25">
      <c r="A607" s="1" t="s">
        <v>109</v>
      </c>
      <c r="B607" s="1" t="s">
        <v>1245</v>
      </c>
      <c r="C607" s="1" t="s">
        <v>1246</v>
      </c>
      <c r="D607" s="44"/>
      <c r="E607" s="1" t="s">
        <v>23</v>
      </c>
      <c r="F607" s="1" t="s">
        <v>24</v>
      </c>
      <c r="G607" s="1" t="s">
        <v>24</v>
      </c>
      <c r="H607" s="26">
        <v>100</v>
      </c>
      <c r="I607" s="27" t="str">
        <f>HYPERLINK("https://doc.morningstar.com/Document/3dabf4e8d126ab4ef202f82ed9632c59.msdoc?clientid=fnz&amp;key=9c0e4d166b60ffd3","TMD")</f>
        <v>TMD</v>
      </c>
      <c r="J607" t="s">
        <v>25</v>
      </c>
      <c r="K607" s="1" t="s">
        <v>25</v>
      </c>
      <c r="L607" s="1" t="s">
        <v>25</v>
      </c>
      <c r="M607" s="1" t="s">
        <v>25</v>
      </c>
      <c r="N607" s="1" t="s">
        <v>26</v>
      </c>
      <c r="O607" s="1" t="s">
        <v>26</v>
      </c>
      <c r="P607" s="1" t="s">
        <v>27</v>
      </c>
      <c r="Q607" s="1" t="s">
        <v>26</v>
      </c>
    </row>
    <row r="608" spans="1:17" ht="16.5" customHeight="1" x14ac:dyDescent="0.25">
      <c r="A608" s="1" t="s">
        <v>81</v>
      </c>
      <c r="B608" s="1" t="s">
        <v>1247</v>
      </c>
      <c r="C608" s="1" t="s">
        <v>1248</v>
      </c>
      <c r="D608" s="44"/>
      <c r="E608" s="1" t="s">
        <v>40</v>
      </c>
      <c r="F608" s="1" t="s">
        <v>24</v>
      </c>
      <c r="G608" s="1" t="s">
        <v>24</v>
      </c>
      <c r="H608" s="26">
        <v>50</v>
      </c>
      <c r="I608" s="27" t="str">
        <f>HYPERLINK("https://doc.morningstar.com/Document/34483d83377b77881d9c51b94345a434.msdoc?clientid=fnz&amp;key=9c0e4d166b60ffd3","TMD")</f>
        <v>TMD</v>
      </c>
      <c r="J608" t="s">
        <v>25</v>
      </c>
      <c r="K608" s="1" t="s">
        <v>25</v>
      </c>
      <c r="L608" s="1" t="s">
        <v>25</v>
      </c>
      <c r="M608" s="1" t="s">
        <v>25</v>
      </c>
      <c r="N608" s="1" t="s">
        <v>26</v>
      </c>
      <c r="O608" s="1" t="s">
        <v>26</v>
      </c>
      <c r="P608" s="1" t="s">
        <v>27</v>
      </c>
      <c r="Q608" s="1" t="s">
        <v>27</v>
      </c>
    </row>
    <row r="609" spans="1:17" ht="16.5" customHeight="1" x14ac:dyDescent="0.25">
      <c r="A609" s="1" t="s">
        <v>31</v>
      </c>
      <c r="B609" s="1" t="s">
        <v>1249</v>
      </c>
      <c r="C609" s="1" t="s">
        <v>1250</v>
      </c>
      <c r="D609" s="44"/>
      <c r="E609" s="1" t="s">
        <v>40</v>
      </c>
      <c r="F609" s="1" t="s">
        <v>24</v>
      </c>
      <c r="G609" s="1" t="s">
        <v>24</v>
      </c>
      <c r="H609" s="26">
        <v>100</v>
      </c>
      <c r="I609" s="41" t="str">
        <f>HYPERLINK("https://doc.morningstar.com/Document/3dabf4e8d126ab4e1d14301a1a5c3f0f.msdoc?clientid=fnz&amp;key=9c0e4d166b60ffd3","TMD")</f>
        <v>TMD</v>
      </c>
      <c r="J609" t="s">
        <v>25</v>
      </c>
      <c r="K609" s="1" t="s">
        <v>25</v>
      </c>
      <c r="L609" s="1" t="s">
        <v>25</v>
      </c>
      <c r="M609" s="1" t="s">
        <v>25</v>
      </c>
      <c r="N609" s="1" t="s">
        <v>26</v>
      </c>
      <c r="O609" s="1" t="s">
        <v>26</v>
      </c>
      <c r="P609" s="1" t="s">
        <v>27</v>
      </c>
      <c r="Q609" s="1" t="s">
        <v>27</v>
      </c>
    </row>
    <row r="610" spans="1:17" ht="16.5" customHeight="1" x14ac:dyDescent="0.25">
      <c r="A610" s="1" t="s">
        <v>58</v>
      </c>
      <c r="B610" s="1" t="s">
        <v>1251</v>
      </c>
      <c r="C610" s="1" t="s">
        <v>1252</v>
      </c>
      <c r="D610" s="44"/>
      <c r="E610" s="1" t="s">
        <v>61</v>
      </c>
      <c r="F610" s="1" t="s">
        <v>24</v>
      </c>
      <c r="G610" s="1" t="s">
        <v>24</v>
      </c>
      <c r="H610" s="26">
        <v>100</v>
      </c>
      <c r="I610" s="41" t="str">
        <f>HYPERLINK("https://doc.morningstar.com/Document/915b85ec142622dcc5e80ed951532993.msdoc?clientid=fnz&amp;key=9c0e4d166b60ffd3","TMD")</f>
        <v>TMD</v>
      </c>
      <c r="J610" t="s">
        <v>25</v>
      </c>
      <c r="K610" s="1" t="s">
        <v>25</v>
      </c>
      <c r="L610" s="1" t="s">
        <v>25</v>
      </c>
      <c r="M610" s="1" t="s">
        <v>25</v>
      </c>
      <c r="N610" s="1" t="s">
        <v>26</v>
      </c>
      <c r="O610" s="1" t="s">
        <v>26</v>
      </c>
      <c r="P610" s="1" t="s">
        <v>27</v>
      </c>
      <c r="Q610" s="1" t="s">
        <v>27</v>
      </c>
    </row>
    <row r="611" spans="1:17" ht="16.5" customHeight="1" x14ac:dyDescent="0.25">
      <c r="A611" s="1" t="s">
        <v>109</v>
      </c>
      <c r="B611" s="1" t="s">
        <v>1253</v>
      </c>
      <c r="C611" s="1" t="s">
        <v>1254</v>
      </c>
      <c r="D611" s="44"/>
      <c r="E611" s="1" t="s">
        <v>40</v>
      </c>
      <c r="F611" s="1" t="s">
        <v>24</v>
      </c>
      <c r="G611" s="1" t="s">
        <v>24</v>
      </c>
      <c r="H611" s="26">
        <v>100</v>
      </c>
      <c r="I611" s="41" t="str">
        <f>HYPERLINK("https://doc.morningstar.com/Document/66f897b083d69796ac603bba8b44e39b.msdoc?clientid=fnz&amp;key=9c0e4d166b60ffd3","TMD")</f>
        <v>TMD</v>
      </c>
      <c r="J611" t="s">
        <v>25</v>
      </c>
      <c r="K611" s="1" t="s">
        <v>25</v>
      </c>
      <c r="L611" s="1" t="s">
        <v>25</v>
      </c>
      <c r="M611" s="1" t="s">
        <v>25</v>
      </c>
      <c r="N611" s="1" t="s">
        <v>26</v>
      </c>
      <c r="O611" s="1" t="s">
        <v>26</v>
      </c>
      <c r="P611" s="1" t="s">
        <v>27</v>
      </c>
      <c r="Q611" s="1" t="s">
        <v>27</v>
      </c>
    </row>
    <row r="612" spans="1:17" ht="16.5" customHeight="1" x14ac:dyDescent="0.25">
      <c r="A612" s="1" t="s">
        <v>65</v>
      </c>
      <c r="B612" s="1" t="s">
        <v>1255</v>
      </c>
      <c r="C612" s="1" t="s">
        <v>1256</v>
      </c>
      <c r="D612" s="44"/>
      <c r="E612" s="1" t="s">
        <v>40</v>
      </c>
      <c r="F612" s="1" t="s">
        <v>24</v>
      </c>
      <c r="G612" s="1" t="s">
        <v>24</v>
      </c>
      <c r="H612" s="26">
        <v>100</v>
      </c>
      <c r="I612" s="27" t="str">
        <f>HYPERLINK("https://doc.morningstar.com/Document/b0e2a4e2ffddb299ce26c7e22a5db37b.msdoc?clientid=fnz&amp;key=9c0e4d166b60ffd3","TMD")</f>
        <v>TMD</v>
      </c>
      <c r="J612" t="s">
        <v>25</v>
      </c>
      <c r="K612" s="1" t="s">
        <v>25</v>
      </c>
      <c r="L612" s="1" t="s">
        <v>25</v>
      </c>
      <c r="M612" s="1" t="s">
        <v>25</v>
      </c>
      <c r="N612" s="1" t="s">
        <v>26</v>
      </c>
      <c r="O612" s="1" t="s">
        <v>27</v>
      </c>
      <c r="P612" s="1" t="s">
        <v>27</v>
      </c>
      <c r="Q612" s="1" t="s">
        <v>27</v>
      </c>
    </row>
    <row r="613" spans="1:17" ht="16.5" customHeight="1" x14ac:dyDescent="0.25">
      <c r="A613" s="1" t="s">
        <v>122</v>
      </c>
      <c r="B613" s="1" t="s">
        <v>1257</v>
      </c>
      <c r="C613" s="1" t="s">
        <v>1258</v>
      </c>
      <c r="D613" s="44"/>
      <c r="E613" s="1" t="s">
        <v>40</v>
      </c>
      <c r="F613" s="1" t="s">
        <v>24</v>
      </c>
      <c r="G613" s="1" t="s">
        <v>24</v>
      </c>
      <c r="H613" s="26">
        <v>100</v>
      </c>
      <c r="I613" s="27" t="str">
        <f>HYPERLINK("https://doc.morningstar.com/Document/094cb0432c408db42f9f8e3a64f5b0da.msdoc?clientid=fnz&amp;key=9c0e4d166b60ffd3","TMD")</f>
        <v>TMD</v>
      </c>
      <c r="J613" t="s">
        <v>25</v>
      </c>
      <c r="K613" s="1" t="s">
        <v>25</v>
      </c>
      <c r="L613" s="1" t="s">
        <v>25</v>
      </c>
      <c r="M613" s="1" t="s">
        <v>25</v>
      </c>
      <c r="N613" s="1" t="s">
        <v>26</v>
      </c>
      <c r="O613" s="1" t="s">
        <v>26</v>
      </c>
      <c r="P613" s="1" t="s">
        <v>27</v>
      </c>
      <c r="Q613" s="1" t="s">
        <v>27</v>
      </c>
    </row>
    <row r="614" spans="1:17" ht="16.5" customHeight="1" x14ac:dyDescent="0.25">
      <c r="A614" s="1" t="s">
        <v>52</v>
      </c>
      <c r="B614" s="1" t="s">
        <v>1259</v>
      </c>
      <c r="C614" s="1" t="s">
        <v>1260</v>
      </c>
      <c r="D614" s="44"/>
      <c r="E614" s="1" t="s">
        <v>40</v>
      </c>
      <c r="F614" s="1" t="s">
        <v>24</v>
      </c>
      <c r="G614" s="1" t="s">
        <v>24</v>
      </c>
      <c r="H614" s="26">
        <v>100</v>
      </c>
      <c r="I614" s="27" t="str">
        <f>HYPERLINK("https://doc.morningstar.com/Document/68890385bb2c8188bd9465c428e4f18b.msdoc?clientid=fnz&amp;key=9c0e4d166b60ffd3","TMD")</f>
        <v>TMD</v>
      </c>
      <c r="J614" t="s">
        <v>25</v>
      </c>
      <c r="K614" s="1" t="s">
        <v>26</v>
      </c>
      <c r="L614" s="1" t="s">
        <v>27</v>
      </c>
      <c r="M614" s="1" t="s">
        <v>26</v>
      </c>
      <c r="N614" s="1" t="s">
        <v>26</v>
      </c>
      <c r="O614" s="1" t="s">
        <v>27</v>
      </c>
      <c r="P614" s="1" t="s">
        <v>26</v>
      </c>
      <c r="Q614" s="1" t="s">
        <v>26</v>
      </c>
    </row>
    <row r="615" spans="1:17" ht="16.5" customHeight="1" x14ac:dyDescent="0.25">
      <c r="A615" s="1" t="s">
        <v>318</v>
      </c>
      <c r="B615" s="1" t="s">
        <v>1261</v>
      </c>
      <c r="C615" s="1" t="s">
        <v>1262</v>
      </c>
      <c r="D615" s="44"/>
      <c r="E615" s="1" t="s">
        <v>45</v>
      </c>
      <c r="F615" s="1" t="s">
        <v>24</v>
      </c>
      <c r="G615" s="1" t="s">
        <v>24</v>
      </c>
      <c r="H615" s="26">
        <v>100</v>
      </c>
      <c r="I615" s="27" t="str">
        <f>HYPERLINK("https://doc.morningstar.com/Document/5ff311738ba56500e9525bb5836ed43a.msdoc?clientid=fnz&amp;key=9c0e4d166b60ffd3","TMD")</f>
        <v>TMD</v>
      </c>
      <c r="J615" t="s">
        <v>25</v>
      </c>
      <c r="K615" s="1" t="s">
        <v>27</v>
      </c>
      <c r="L615" s="1" t="s">
        <v>26</v>
      </c>
      <c r="M615" s="1" t="s">
        <v>26</v>
      </c>
      <c r="N615" s="1" t="s">
        <v>27</v>
      </c>
      <c r="O615" s="1" t="s">
        <v>26</v>
      </c>
      <c r="P615" s="1" t="s">
        <v>26</v>
      </c>
      <c r="Q615" s="1" t="s">
        <v>26</v>
      </c>
    </row>
    <row r="616" spans="1:17" ht="16.5" customHeight="1" x14ac:dyDescent="0.25">
      <c r="A616" s="1" t="s">
        <v>318</v>
      </c>
      <c r="B616" s="1" t="s">
        <v>1263</v>
      </c>
      <c r="C616" s="1" t="s">
        <v>1264</v>
      </c>
      <c r="D616" s="44"/>
      <c r="E616" s="1" t="s">
        <v>40</v>
      </c>
      <c r="F616" s="1" t="s">
        <v>24</v>
      </c>
      <c r="G616" s="1" t="s">
        <v>24</v>
      </c>
      <c r="H616" s="26">
        <v>100</v>
      </c>
      <c r="I616" s="27" t="str">
        <f>HYPERLINK("https://doc.morningstar.com/Document/256b9d11aeed01507359832a52a2d7ef.msdoc?clientid=fnz&amp;key=9c0e4d166b60ffd3","TMD")</f>
        <v>TMD</v>
      </c>
      <c r="J616" t="s">
        <v>25</v>
      </c>
      <c r="K616" s="1" t="s">
        <v>27</v>
      </c>
      <c r="L616" s="1" t="s">
        <v>26</v>
      </c>
      <c r="M616" s="1" t="s">
        <v>26</v>
      </c>
      <c r="N616" s="1" t="s">
        <v>27</v>
      </c>
      <c r="O616" s="1" t="s">
        <v>27</v>
      </c>
      <c r="P616" s="1" t="s">
        <v>26</v>
      </c>
      <c r="Q616" s="1" t="s">
        <v>26</v>
      </c>
    </row>
    <row r="617" spans="1:17" ht="16.5" customHeight="1" x14ac:dyDescent="0.25">
      <c r="A617" s="1" t="s">
        <v>184</v>
      </c>
      <c r="B617" s="1" t="s">
        <v>1265</v>
      </c>
      <c r="C617" s="1" t="s">
        <v>1266</v>
      </c>
      <c r="D617" s="44"/>
      <c r="E617" s="1" t="s">
        <v>40</v>
      </c>
      <c r="F617" s="1" t="s">
        <v>24</v>
      </c>
      <c r="G617" s="1" t="s">
        <v>24</v>
      </c>
      <c r="H617" s="26">
        <v>100</v>
      </c>
      <c r="I617" s="27" t="str">
        <f>HYPERLINK("https://doc.morningstar.com/Document/79f8449d66adce07c2e1958600da04a0.msdoc?clientid=fnz&amp;key=9c0e4d166b60ffd3","TMD")</f>
        <v>TMD</v>
      </c>
      <c r="J617" t="s">
        <v>25</v>
      </c>
      <c r="K617" s="1" t="s">
        <v>26</v>
      </c>
      <c r="L617" s="1" t="s">
        <v>27</v>
      </c>
      <c r="M617" s="1" t="s">
        <v>26</v>
      </c>
      <c r="N617" s="1" t="s">
        <v>27</v>
      </c>
      <c r="O617" s="1" t="s">
        <v>27</v>
      </c>
      <c r="P617" s="1" t="s">
        <v>26</v>
      </c>
      <c r="Q617" s="1" t="s">
        <v>26</v>
      </c>
    </row>
    <row r="618" spans="1:17" ht="16.5" customHeight="1" x14ac:dyDescent="0.25">
      <c r="A618" s="1" t="s">
        <v>81</v>
      </c>
      <c r="B618" s="1" t="s">
        <v>1267</v>
      </c>
      <c r="C618" s="1" t="s">
        <v>1268</v>
      </c>
      <c r="D618" s="44"/>
      <c r="E618" s="1" t="s">
        <v>23</v>
      </c>
      <c r="F618" s="1" t="s">
        <v>24</v>
      </c>
      <c r="G618" s="1" t="s">
        <v>24</v>
      </c>
      <c r="H618" s="26">
        <v>50</v>
      </c>
      <c r="I618" s="27" t="str">
        <f>HYPERLINK("https://doc.morningstar.com/Document/569c0b1ffcde0ab461d99dd5a2f8a20c.msdoc?clientid=fnz&amp;key=9c0e4d166b60ffd3","TMD")</f>
        <v>TMD</v>
      </c>
      <c r="J618" t="s">
        <v>25</v>
      </c>
      <c r="K618" s="1" t="s">
        <v>26</v>
      </c>
      <c r="L618" s="1" t="s">
        <v>27</v>
      </c>
      <c r="M618" s="1" t="s">
        <v>26</v>
      </c>
      <c r="N618" s="1" t="s">
        <v>26</v>
      </c>
      <c r="O618" s="1" t="s">
        <v>26</v>
      </c>
      <c r="P618" s="1" t="s">
        <v>27</v>
      </c>
      <c r="Q618" s="1" t="s">
        <v>26</v>
      </c>
    </row>
    <row r="619" spans="1:17" ht="16.5" customHeight="1" x14ac:dyDescent="0.25">
      <c r="A619" s="1" t="s">
        <v>31</v>
      </c>
      <c r="B619" s="1" t="s">
        <v>1269</v>
      </c>
      <c r="C619" s="1" t="s">
        <v>1270</v>
      </c>
      <c r="D619" s="44"/>
      <c r="E619" s="1" t="s">
        <v>23</v>
      </c>
      <c r="F619" s="1" t="s">
        <v>24</v>
      </c>
      <c r="G619" s="1" t="s">
        <v>24</v>
      </c>
      <c r="H619" s="26">
        <v>100</v>
      </c>
      <c r="I619" s="41" t="str">
        <f>HYPERLINK("https://doc.morningstar.com/Document/f5d5a01c3bd65610693a75d892f75945.msdoc?clientid=fnz&amp;key=9c0e4d166b60ffd3","TMD")</f>
        <v>TMD</v>
      </c>
      <c r="J619" t="s">
        <v>25</v>
      </c>
      <c r="K619" s="5" t="s">
        <v>25</v>
      </c>
      <c r="L619" s="5" t="s">
        <v>25</v>
      </c>
      <c r="M619" s="5" t="s">
        <v>25</v>
      </c>
      <c r="N619" s="1" t="s">
        <v>26</v>
      </c>
      <c r="O619" s="1" t="s">
        <v>27</v>
      </c>
      <c r="P619" s="1" t="s">
        <v>27</v>
      </c>
      <c r="Q619" s="1" t="s">
        <v>27</v>
      </c>
    </row>
    <row r="620" spans="1:17" ht="16.5" customHeight="1" x14ac:dyDescent="0.25">
      <c r="A620" s="1" t="s">
        <v>184</v>
      </c>
      <c r="B620" s="1" t="s">
        <v>1271</v>
      </c>
      <c r="C620" s="1" t="s">
        <v>1272</v>
      </c>
      <c r="D620" s="44"/>
      <c r="E620" s="1" t="s">
        <v>40</v>
      </c>
      <c r="F620" s="1" t="s">
        <v>24</v>
      </c>
      <c r="G620" s="1" t="s">
        <v>24</v>
      </c>
      <c r="H620" s="26">
        <v>100</v>
      </c>
      <c r="I620" s="41" t="str">
        <f>HYPERLINK("https://doc.morningstar.com/Document/04785e1ef419859ccf6623d484d84fbc.msdoc?clientid=fnz&amp;key=9c0e4d166b60ffd3","TMD")</f>
        <v>TMD</v>
      </c>
      <c r="J620" t="s">
        <v>25</v>
      </c>
      <c r="K620" s="1" t="s">
        <v>25</v>
      </c>
      <c r="L620" s="1" t="s">
        <v>25</v>
      </c>
      <c r="M620" s="1" t="s">
        <v>25</v>
      </c>
      <c r="N620" s="1" t="s">
        <v>26</v>
      </c>
      <c r="O620" s="1" t="s">
        <v>27</v>
      </c>
      <c r="P620" s="1" t="s">
        <v>27</v>
      </c>
      <c r="Q620" s="1" t="s">
        <v>26</v>
      </c>
    </row>
    <row r="621" spans="1:17" ht="16.5" customHeight="1" x14ac:dyDescent="0.25">
      <c r="A621" s="1" t="s">
        <v>84</v>
      </c>
      <c r="B621" s="1" t="s">
        <v>1273</v>
      </c>
      <c r="C621" s="1" t="s">
        <v>1274</v>
      </c>
      <c r="D621" s="44"/>
      <c r="E621" s="1" t="s">
        <v>40</v>
      </c>
      <c r="F621" s="1" t="s">
        <v>24</v>
      </c>
      <c r="G621" s="1" t="s">
        <v>24</v>
      </c>
      <c r="H621" s="26">
        <v>100</v>
      </c>
      <c r="I621" s="27" t="str">
        <f>HYPERLINK("https://doc.morningstar.com/Document/660c9b6d86a96e6b69b700a88e53debe.msdoc?clientid=fnz&amp;key=9c0e4d166b60ffd3","TMD")</f>
        <v>TMD</v>
      </c>
      <c r="J621" t="s">
        <v>25</v>
      </c>
      <c r="K621" s="1" t="s">
        <v>25</v>
      </c>
      <c r="L621" s="1" t="s">
        <v>25</v>
      </c>
      <c r="M621" s="1" t="s">
        <v>25</v>
      </c>
      <c r="N621" s="1" t="s">
        <v>26</v>
      </c>
      <c r="O621" s="1" t="s">
        <v>27</v>
      </c>
      <c r="P621" s="1" t="s">
        <v>27</v>
      </c>
      <c r="Q621" s="1" t="s">
        <v>26</v>
      </c>
    </row>
    <row r="622" spans="1:17" ht="16.5" customHeight="1" x14ac:dyDescent="0.25">
      <c r="A622" s="1" t="s">
        <v>58</v>
      </c>
      <c r="B622" s="1" t="s">
        <v>1275</v>
      </c>
      <c r="C622" s="1" t="s">
        <v>1276</v>
      </c>
      <c r="D622" s="44"/>
      <c r="E622" s="1" t="s">
        <v>23</v>
      </c>
      <c r="F622" s="1" t="s">
        <v>24</v>
      </c>
      <c r="G622" s="1" t="s">
        <v>24</v>
      </c>
      <c r="H622" s="26">
        <v>100</v>
      </c>
      <c r="I622" s="41" t="str">
        <f>HYPERLINK("https://doc.morningstar.com/Document/ccb637f6f919fa623cb4ab230d95bf0f.msdoc?clientid=fnz&amp;key=9c0e4d166b60ffd3","TMD")</f>
        <v>TMD</v>
      </c>
      <c r="J622" t="s">
        <v>25</v>
      </c>
      <c r="K622" s="1" t="s">
        <v>25</v>
      </c>
      <c r="L622" s="1" t="s">
        <v>25</v>
      </c>
      <c r="M622" s="1" t="s">
        <v>25</v>
      </c>
      <c r="N622" s="1" t="s">
        <v>27</v>
      </c>
      <c r="O622" s="1" t="s">
        <v>27</v>
      </c>
      <c r="P622" s="1" t="s">
        <v>27</v>
      </c>
      <c r="Q622" s="1" t="s">
        <v>26</v>
      </c>
    </row>
    <row r="623" spans="1:17" ht="16.5" customHeight="1" x14ac:dyDescent="0.25">
      <c r="A623" s="1" t="s">
        <v>58</v>
      </c>
      <c r="B623" s="1" t="s">
        <v>1277</v>
      </c>
      <c r="C623" s="1" t="s">
        <v>1278</v>
      </c>
      <c r="D623" s="44"/>
      <c r="E623" s="1" t="s">
        <v>23</v>
      </c>
      <c r="F623" s="1" t="s">
        <v>24</v>
      </c>
      <c r="G623" s="1" t="s">
        <v>24</v>
      </c>
      <c r="H623" s="26">
        <v>100</v>
      </c>
      <c r="I623" s="27" t="str">
        <f>HYPERLINK("https://doc.morningstar.com/Document/f5d5a01c3bd6561071cc4241e6ba979d.msdoc?clientid=fnz&amp;key=9c0e4d166b60ffd3","TMD")</f>
        <v>TMD</v>
      </c>
      <c r="J623" t="s">
        <v>25</v>
      </c>
      <c r="K623" s="1" t="s">
        <v>25</v>
      </c>
      <c r="L623" s="1" t="s">
        <v>25</v>
      </c>
      <c r="M623" s="1" t="s">
        <v>25</v>
      </c>
      <c r="N623" s="1" t="s">
        <v>27</v>
      </c>
      <c r="O623" s="1" t="s">
        <v>27</v>
      </c>
      <c r="P623" s="1" t="s">
        <v>27</v>
      </c>
      <c r="Q623" s="1" t="s">
        <v>26</v>
      </c>
    </row>
    <row r="624" spans="1:17" ht="16.5" customHeight="1" x14ac:dyDescent="0.25">
      <c r="A624" s="1" t="s">
        <v>225</v>
      </c>
      <c r="B624" s="1" t="s">
        <v>1279</v>
      </c>
      <c r="C624" s="1" t="s">
        <v>1280</v>
      </c>
      <c r="D624" s="44"/>
      <c r="E624" s="1" t="s">
        <v>23</v>
      </c>
      <c r="F624" s="1" t="s">
        <v>24</v>
      </c>
      <c r="G624" s="1" t="s">
        <v>24</v>
      </c>
      <c r="H624" s="26">
        <v>30</v>
      </c>
      <c r="I624" s="41" t="str">
        <f>HYPERLINK("https://doc.morningstar.com/Document/b48c487df1113cda01e405d27f929ba8.msdoc?clientid=fnz&amp;key=9c0e4d166b60ffd3","TMD")</f>
        <v>TMD</v>
      </c>
      <c r="J624" t="s">
        <v>25</v>
      </c>
      <c r="K624" s="1" t="s">
        <v>25</v>
      </c>
      <c r="L624" s="1" t="s">
        <v>25</v>
      </c>
      <c r="M624" s="1" t="s">
        <v>25</v>
      </c>
      <c r="N624" s="1" t="s">
        <v>26</v>
      </c>
      <c r="O624" s="1" t="s">
        <v>26</v>
      </c>
      <c r="P624" s="1" t="s">
        <v>27</v>
      </c>
      <c r="Q624" s="1" t="s">
        <v>27</v>
      </c>
    </row>
    <row r="625" spans="1:17" ht="16.5" customHeight="1" x14ac:dyDescent="0.25">
      <c r="A625" s="1" t="s">
        <v>141</v>
      </c>
      <c r="B625" s="1" t="s">
        <v>1281</v>
      </c>
      <c r="C625" s="1" t="s">
        <v>1282</v>
      </c>
      <c r="D625" s="44"/>
      <c r="E625" s="1" t="s">
        <v>428</v>
      </c>
      <c r="F625" s="1" t="s">
        <v>24</v>
      </c>
      <c r="G625" s="1" t="s">
        <v>24</v>
      </c>
      <c r="H625" s="26">
        <v>20</v>
      </c>
      <c r="I625" s="27" t="str">
        <f>HYPERLINK("https://doc.morningstar.com/Document/dec3b1f54c8436abe03d0bcd893ee383.msdoc?clientid=fnz&amp;key=9c0e4d166b60ffd3","TMD")</f>
        <v>TMD</v>
      </c>
      <c r="J625" t="s">
        <v>62</v>
      </c>
      <c r="K625" s="1" t="s">
        <v>25</v>
      </c>
      <c r="L625" s="1" t="s">
        <v>25</v>
      </c>
      <c r="M625" s="1" t="s">
        <v>25</v>
      </c>
      <c r="N625" s="1" t="s">
        <v>26</v>
      </c>
      <c r="O625" s="1" t="s">
        <v>26</v>
      </c>
      <c r="P625" s="1" t="s">
        <v>27</v>
      </c>
      <c r="Q625" s="1" t="s">
        <v>27</v>
      </c>
    </row>
    <row r="626" spans="1:17" ht="16.5" customHeight="1" x14ac:dyDescent="0.25">
      <c r="A626" s="1" t="s">
        <v>274</v>
      </c>
      <c r="B626" s="1" t="s">
        <v>1283</v>
      </c>
      <c r="C626" s="1" t="s">
        <v>1284</v>
      </c>
      <c r="D626" s="44"/>
      <c r="E626" s="1" t="s">
        <v>23</v>
      </c>
      <c r="F626" s="1" t="s">
        <v>24</v>
      </c>
      <c r="G626" s="1" t="s">
        <v>24</v>
      </c>
      <c r="H626" s="26">
        <v>100</v>
      </c>
      <c r="I626" s="27" t="str">
        <f>HYPERLINK("https://doc.morningstar.com/Document/ccb637f6f919fa62486c802a0f62b7aa.msdoc?clientid=fnz&amp;key=9c0e4d166b60ffd3","TMD")</f>
        <v>TMD</v>
      </c>
      <c r="J626" t="s">
        <v>25</v>
      </c>
      <c r="K626" s="1" t="s">
        <v>25</v>
      </c>
      <c r="L626" s="1" t="s">
        <v>25</v>
      </c>
      <c r="M626" s="1" t="s">
        <v>25</v>
      </c>
      <c r="N626" s="1" t="s">
        <v>26</v>
      </c>
      <c r="O626" s="1" t="s">
        <v>27</v>
      </c>
      <c r="P626" s="1" t="s">
        <v>27</v>
      </c>
      <c r="Q626" s="1" t="s">
        <v>27</v>
      </c>
    </row>
    <row r="627" spans="1:17" ht="16.5" customHeight="1" x14ac:dyDescent="0.25">
      <c r="A627" s="1" t="s">
        <v>31</v>
      </c>
      <c r="B627" s="1" t="s">
        <v>1285</v>
      </c>
      <c r="C627" s="1" t="s">
        <v>1286</v>
      </c>
      <c r="D627" s="44"/>
      <c r="E627" s="1" t="s">
        <v>23</v>
      </c>
      <c r="F627" s="1" t="s">
        <v>24</v>
      </c>
      <c r="G627" s="1" t="s">
        <v>24</v>
      </c>
      <c r="H627" s="26">
        <v>100</v>
      </c>
      <c r="I627" s="27" t="str">
        <f>HYPERLINK("https://doc.morningstar.com/Document/9bfe25bfb40581e628c453e776a758d3.msdoc?clientid=fnz&amp;key=9c0e4d166b60ffd3","TMD")</f>
        <v>TMD</v>
      </c>
      <c r="J627" t="s">
        <v>25</v>
      </c>
      <c r="K627" s="1" t="s">
        <v>25</v>
      </c>
      <c r="L627" s="1" t="s">
        <v>25</v>
      </c>
      <c r="M627" s="1" t="s">
        <v>25</v>
      </c>
      <c r="N627" s="1" t="s">
        <v>26</v>
      </c>
      <c r="O627" s="1" t="s">
        <v>27</v>
      </c>
      <c r="P627" s="1" t="s">
        <v>27</v>
      </c>
      <c r="Q627" s="1" t="s">
        <v>27</v>
      </c>
    </row>
    <row r="628" spans="1:17" ht="16.5" customHeight="1" x14ac:dyDescent="0.25">
      <c r="A628" s="1" t="s">
        <v>109</v>
      </c>
      <c r="B628" s="1" t="s">
        <v>1287</v>
      </c>
      <c r="C628" s="1" t="s">
        <v>1288</v>
      </c>
      <c r="D628" s="44"/>
      <c r="E628" s="1" t="s">
        <v>23</v>
      </c>
      <c r="F628" s="1" t="s">
        <v>24</v>
      </c>
      <c r="G628" s="1" t="s">
        <v>24</v>
      </c>
      <c r="H628" s="26">
        <v>100</v>
      </c>
      <c r="I628" s="27" t="str">
        <f>HYPERLINK("https://doc.morningstar.com/Document/ccb637f6f919fa6208bc7b25ee0b4d22.msdoc?clientid=fnz&amp;key=9c0e4d166b60ffd3","TMD")</f>
        <v>TMD</v>
      </c>
      <c r="J628" t="s">
        <v>25</v>
      </c>
      <c r="K628" s="1" t="s">
        <v>25</v>
      </c>
      <c r="L628" s="1" t="s">
        <v>25</v>
      </c>
      <c r="M628" s="1" t="s">
        <v>25</v>
      </c>
      <c r="N628" s="1" t="s">
        <v>26</v>
      </c>
      <c r="O628" s="1" t="s">
        <v>27</v>
      </c>
      <c r="P628" s="1" t="s">
        <v>27</v>
      </c>
      <c r="Q628" s="1" t="s">
        <v>27</v>
      </c>
    </row>
    <row r="629" spans="1:17" ht="16.5" customHeight="1" x14ac:dyDescent="0.25">
      <c r="A629" s="1" t="s">
        <v>52</v>
      </c>
      <c r="B629" s="1" t="s">
        <v>1289</v>
      </c>
      <c r="C629" s="1" t="s">
        <v>1290</v>
      </c>
      <c r="D629" s="44"/>
      <c r="E629" s="1" t="s">
        <v>45</v>
      </c>
      <c r="F629" s="1" t="s">
        <v>24</v>
      </c>
      <c r="G629" s="1" t="s">
        <v>24</v>
      </c>
      <c r="H629" s="26">
        <v>100</v>
      </c>
      <c r="I629" s="27" t="str">
        <f>HYPERLINK("https://doc.morningstar.com/Document/ccb637f6f919fa62f27e448228309c21.msdoc?clientid=fnz&amp;key=9c0e4d166b60ffd3","TMD")</f>
        <v>TMD</v>
      </c>
      <c r="J629" t="s">
        <v>25</v>
      </c>
      <c r="K629" s="1" t="s">
        <v>25</v>
      </c>
      <c r="L629" s="1" t="s">
        <v>25</v>
      </c>
      <c r="M629" s="1" t="s">
        <v>25</v>
      </c>
      <c r="N629" s="1" t="s">
        <v>26</v>
      </c>
      <c r="O629" s="1" t="s">
        <v>27</v>
      </c>
      <c r="P629" s="1" t="s">
        <v>27</v>
      </c>
      <c r="Q629" s="1" t="s">
        <v>26</v>
      </c>
    </row>
    <row r="630" spans="1:17" ht="16.5" customHeight="1" x14ac:dyDescent="0.25">
      <c r="A630" s="1" t="s">
        <v>377</v>
      </c>
      <c r="B630" s="1" t="s">
        <v>1291</v>
      </c>
      <c r="C630" s="1" t="s">
        <v>1292</v>
      </c>
      <c r="D630" s="44"/>
      <c r="E630" s="1" t="s">
        <v>40</v>
      </c>
      <c r="F630" s="1" t="s">
        <v>24</v>
      </c>
      <c r="G630" s="1" t="s">
        <v>24</v>
      </c>
      <c r="H630" s="26">
        <v>100</v>
      </c>
      <c r="I630" s="27" t="str">
        <f>HYPERLINK("https://doc.morningstar.com/Document/0905ec9986f42c4e2e1ab3e21c6ab07a.msdoc?clientid=fnz&amp;key=9c0e4d166b60ffd3","TMD")</f>
        <v>TMD</v>
      </c>
      <c r="J630" t="s">
        <v>25</v>
      </c>
      <c r="K630" s="1" t="s">
        <v>25</v>
      </c>
      <c r="L630" s="1" t="s">
        <v>25</v>
      </c>
      <c r="M630" s="1" t="s">
        <v>25</v>
      </c>
      <c r="N630" s="1" t="s">
        <v>27</v>
      </c>
      <c r="O630" s="1" t="s">
        <v>27</v>
      </c>
      <c r="P630" s="1" t="s">
        <v>26</v>
      </c>
      <c r="Q630" s="1" t="s">
        <v>26</v>
      </c>
    </row>
    <row r="631" spans="1:17" ht="16.5" customHeight="1" x14ac:dyDescent="0.25">
      <c r="A631" s="1" t="s">
        <v>76</v>
      </c>
      <c r="B631" s="1" t="s">
        <v>1293</v>
      </c>
      <c r="C631" s="1" t="s">
        <v>1294</v>
      </c>
      <c r="D631" s="44"/>
      <c r="E631" s="1" t="s">
        <v>40</v>
      </c>
      <c r="F631" s="1" t="s">
        <v>24</v>
      </c>
      <c r="G631" s="1" t="s">
        <v>24</v>
      </c>
      <c r="H631" s="26">
        <v>100</v>
      </c>
      <c r="I631" s="41" t="str">
        <f>HYPERLINK("https://swift.zeidlerlegalservices.com/tmds/SLT1239AU","TMD")</f>
        <v>TMD</v>
      </c>
      <c r="J631" t="s">
        <v>62</v>
      </c>
      <c r="K631" s="5" t="s">
        <v>26</v>
      </c>
      <c r="L631" s="5" t="s">
        <v>27</v>
      </c>
      <c r="M631" s="5" t="s">
        <v>27</v>
      </c>
      <c r="N631" s="1" t="s">
        <v>26</v>
      </c>
      <c r="O631" s="1" t="s">
        <v>27</v>
      </c>
      <c r="P631" s="5" t="s">
        <v>216</v>
      </c>
      <c r="Q631" s="1" t="s">
        <v>26</v>
      </c>
    </row>
    <row r="632" spans="1:17" ht="16.5" customHeight="1" x14ac:dyDescent="0.25">
      <c r="A632" s="1" t="s">
        <v>58</v>
      </c>
      <c r="B632" s="1" t="s">
        <v>1295</v>
      </c>
      <c r="C632" s="1" t="s">
        <v>1296</v>
      </c>
      <c r="D632" s="44"/>
      <c r="E632" s="1" t="s">
        <v>61</v>
      </c>
      <c r="F632" s="1" t="s">
        <v>24</v>
      </c>
      <c r="G632" s="1" t="s">
        <v>24</v>
      </c>
      <c r="H632" s="26">
        <v>100</v>
      </c>
      <c r="I632" s="27" t="str">
        <f>HYPERLINK("https://doc.morningstar.com/Document/7dd0bb632f9cc3884ff445fb84857603.msdoc?clientid=fnz&amp;key=9c0e4d166b60ffd3","TMD")</f>
        <v>TMD</v>
      </c>
      <c r="J632" t="s">
        <v>25</v>
      </c>
      <c r="K632" s="1" t="s">
        <v>25</v>
      </c>
      <c r="L632" s="1" t="s">
        <v>25</v>
      </c>
      <c r="M632" s="1" t="s">
        <v>25</v>
      </c>
      <c r="N632" s="1" t="s">
        <v>26</v>
      </c>
      <c r="O632" s="1" t="s">
        <v>26</v>
      </c>
      <c r="P632" s="1" t="s">
        <v>27</v>
      </c>
      <c r="Q632" s="1" t="s">
        <v>27</v>
      </c>
    </row>
    <row r="633" spans="1:17" ht="16.5" customHeight="1" x14ac:dyDescent="0.25">
      <c r="A633" s="1" t="s">
        <v>377</v>
      </c>
      <c r="B633" s="1" t="s">
        <v>1297</v>
      </c>
      <c r="C633" s="1" t="s">
        <v>1298</v>
      </c>
      <c r="D633" s="44"/>
      <c r="E633" s="1" t="s">
        <v>40</v>
      </c>
      <c r="F633" s="1" t="s">
        <v>24</v>
      </c>
      <c r="G633" s="1" t="s">
        <v>24</v>
      </c>
      <c r="H633" s="26">
        <v>100</v>
      </c>
      <c r="I633" s="41" t="str">
        <f>HYPERLINK("https://doc.morningstar.com/Document/9d3ce6d22ee3cef87b04f71c91c8e239.msdoc?clientid=fnz&amp;key=9c0e4d166b60ffd3","TMD")</f>
        <v>TMD</v>
      </c>
      <c r="J633" t="s">
        <v>25</v>
      </c>
      <c r="K633" s="1" t="s">
        <v>25</v>
      </c>
      <c r="L633" s="1" t="s">
        <v>25</v>
      </c>
      <c r="M633" s="1" t="s">
        <v>25</v>
      </c>
      <c r="N633" s="1" t="s">
        <v>26</v>
      </c>
      <c r="O633" s="1" t="s">
        <v>27</v>
      </c>
      <c r="P633" s="1" t="s">
        <v>27</v>
      </c>
      <c r="Q633" s="1" t="s">
        <v>26</v>
      </c>
    </row>
    <row r="634" spans="1:17" ht="16.5" customHeight="1" x14ac:dyDescent="0.25">
      <c r="A634" s="1" t="s">
        <v>31</v>
      </c>
      <c r="B634" s="1" t="s">
        <v>1299</v>
      </c>
      <c r="C634" s="1" t="s">
        <v>1300</v>
      </c>
      <c r="D634" s="44"/>
      <c r="E634" s="1" t="s">
        <v>23</v>
      </c>
      <c r="F634" s="1" t="s">
        <v>24</v>
      </c>
      <c r="G634" s="1" t="s">
        <v>24</v>
      </c>
      <c r="H634" s="26">
        <v>100</v>
      </c>
      <c r="I634" s="27" t="str">
        <f>HYPERLINK("https://doc.morningstar.com/Document/69a46e635129c99d089b7167b4ad7f72.msdoc?clientid=fnz&amp;key=9c0e4d166b60ffd3","TMD")</f>
        <v>TMD</v>
      </c>
      <c r="J634" t="s">
        <v>25</v>
      </c>
      <c r="K634" s="1" t="s">
        <v>25</v>
      </c>
      <c r="L634" s="1" t="s">
        <v>25</v>
      </c>
      <c r="M634" s="1" t="s">
        <v>25</v>
      </c>
      <c r="N634" s="1" t="s">
        <v>26</v>
      </c>
      <c r="O634" s="1" t="s">
        <v>26</v>
      </c>
      <c r="P634" s="1" t="s">
        <v>27</v>
      </c>
      <c r="Q634" s="1" t="s">
        <v>27</v>
      </c>
    </row>
    <row r="635" spans="1:17" ht="16.5" customHeight="1" x14ac:dyDescent="0.25">
      <c r="A635" s="1" t="s">
        <v>28</v>
      </c>
      <c r="B635" s="1" t="s">
        <v>1301</v>
      </c>
      <c r="C635" s="1" t="s">
        <v>1302</v>
      </c>
      <c r="D635" s="44"/>
      <c r="E635" s="1" t="s">
        <v>23</v>
      </c>
      <c r="F635" s="1" t="s">
        <v>24</v>
      </c>
      <c r="G635" s="1" t="s">
        <v>24</v>
      </c>
      <c r="H635" s="26">
        <v>30</v>
      </c>
      <c r="I635" s="27" t="str">
        <f>HYPERLINK("https://doc.morningstar.com/Document/e89e13a8fbbb36b75ecdcf364a48aa0a.msdoc?clientid=fnz&amp;key=9c0e4d166b60ffd3","TMD")</f>
        <v>TMD</v>
      </c>
      <c r="J635" t="s">
        <v>25</v>
      </c>
      <c r="K635" s="1" t="s">
        <v>25</v>
      </c>
      <c r="L635" s="1" t="s">
        <v>25</v>
      </c>
      <c r="M635" s="1" t="s">
        <v>25</v>
      </c>
      <c r="N635" s="1" t="s">
        <v>26</v>
      </c>
      <c r="O635" s="1" t="s">
        <v>26</v>
      </c>
      <c r="P635" s="1" t="s">
        <v>27</v>
      </c>
      <c r="Q635" s="1" t="s">
        <v>27</v>
      </c>
    </row>
    <row r="636" spans="1:17" ht="16.5" customHeight="1" x14ac:dyDescent="0.25">
      <c r="A636" s="1" t="s">
        <v>52</v>
      </c>
      <c r="B636" s="1" t="s">
        <v>1303</v>
      </c>
      <c r="C636" s="1" t="s">
        <v>1304</v>
      </c>
      <c r="D636" s="44"/>
      <c r="E636" s="1" t="s">
        <v>23</v>
      </c>
      <c r="F636" s="1" t="s">
        <v>24</v>
      </c>
      <c r="G636" s="1" t="s">
        <v>24</v>
      </c>
      <c r="H636" s="26">
        <v>100</v>
      </c>
      <c r="I636" s="27" t="str">
        <f>HYPERLINK("https://doc.morningstar.com/Document/b034f0af4954a57f435863e0c3fe0ad6.msdoc?clientid=fnz&amp;key=9c0e4d166b60ffd3","TMD")</f>
        <v>TMD</v>
      </c>
      <c r="J636" t="s">
        <v>62</v>
      </c>
      <c r="K636" s="1" t="s">
        <v>25</v>
      </c>
      <c r="L636" s="1" t="s">
        <v>25</v>
      </c>
      <c r="M636" s="1" t="s">
        <v>25</v>
      </c>
      <c r="N636" s="1" t="s">
        <v>26</v>
      </c>
      <c r="O636" s="1" t="s">
        <v>27</v>
      </c>
      <c r="P636" s="1" t="s">
        <v>27</v>
      </c>
      <c r="Q636" s="1" t="s">
        <v>26</v>
      </c>
    </row>
    <row r="637" spans="1:17" ht="16.5" customHeight="1" x14ac:dyDescent="0.25">
      <c r="A637" s="1" t="s">
        <v>81</v>
      </c>
      <c r="B637" s="1" t="s">
        <v>1305</v>
      </c>
      <c r="C637" s="1" t="s">
        <v>1306</v>
      </c>
      <c r="D637" s="44"/>
      <c r="E637" s="1" t="s">
        <v>40</v>
      </c>
      <c r="F637" s="1" t="s">
        <v>24</v>
      </c>
      <c r="G637" s="1" t="s">
        <v>24</v>
      </c>
      <c r="H637" s="26">
        <v>50</v>
      </c>
      <c r="I637" s="27" t="str">
        <f>HYPERLINK("https://doc.morningstar.com/Document/33374342b301fe33f3ddcb427514f2a8.msdoc?clientid=fnz&amp;key=9c0e4d166b60ffd3","TMD")</f>
        <v>TMD</v>
      </c>
      <c r="J637" t="s">
        <v>25</v>
      </c>
      <c r="K637" s="1" t="s">
        <v>25</v>
      </c>
      <c r="L637" s="1" t="s">
        <v>25</v>
      </c>
      <c r="M637" s="1" t="s">
        <v>25</v>
      </c>
      <c r="N637" s="1" t="s">
        <v>26</v>
      </c>
      <c r="O637" s="1" t="s">
        <v>26</v>
      </c>
      <c r="P637" s="1" t="s">
        <v>27</v>
      </c>
      <c r="Q637" s="1" t="s">
        <v>26</v>
      </c>
    </row>
    <row r="638" spans="1:17" ht="16.5" customHeight="1" x14ac:dyDescent="0.25">
      <c r="A638" s="1" t="s">
        <v>31</v>
      </c>
      <c r="B638" s="1" t="s">
        <v>1307</v>
      </c>
      <c r="C638" s="1" t="s">
        <v>1308</v>
      </c>
      <c r="D638" s="44"/>
      <c r="E638" s="1" t="s">
        <v>40</v>
      </c>
      <c r="F638" s="1" t="s">
        <v>24</v>
      </c>
      <c r="G638" s="1" t="s">
        <v>24</v>
      </c>
      <c r="H638" s="26">
        <v>100</v>
      </c>
      <c r="I638" s="27" t="str">
        <f>HYPERLINK("https://doc.morningstar.com/Document/ea36d9dcd0d6a61f8307089a25b518af.msdoc?clientid=fnz&amp;key=9c0e4d166b60ffd3","TMD")</f>
        <v>TMD</v>
      </c>
      <c r="J638" t="s">
        <v>25</v>
      </c>
      <c r="K638" s="1" t="s">
        <v>25</v>
      </c>
      <c r="L638" s="1" t="s">
        <v>25</v>
      </c>
      <c r="M638" s="1" t="s">
        <v>25</v>
      </c>
      <c r="N638" s="1" t="s">
        <v>26</v>
      </c>
      <c r="O638" s="1" t="s">
        <v>26</v>
      </c>
      <c r="P638" s="1" t="s">
        <v>27</v>
      </c>
      <c r="Q638" s="1" t="s">
        <v>26</v>
      </c>
    </row>
    <row r="639" spans="1:17" ht="16.5" customHeight="1" x14ac:dyDescent="0.25">
      <c r="A639" s="1" t="s">
        <v>184</v>
      </c>
      <c r="B639" s="1" t="s">
        <v>1309</v>
      </c>
      <c r="C639" s="1" t="s">
        <v>1310</v>
      </c>
      <c r="D639" s="44"/>
      <c r="E639" s="1" t="s">
        <v>45</v>
      </c>
      <c r="F639" s="1" t="s">
        <v>24</v>
      </c>
      <c r="G639" s="1" t="s">
        <v>24</v>
      </c>
      <c r="H639" s="26">
        <v>100</v>
      </c>
      <c r="I639" s="27" t="str">
        <f>HYPERLINK("https://doc.morningstar.com/Document/8faf60bcb694010a7af4e2147656a644.msdoc?clientid=fnz&amp;key=9c0e4d166b60ffd3","TMD")</f>
        <v>TMD</v>
      </c>
      <c r="J639" t="s">
        <v>25</v>
      </c>
      <c r="K639" s="1" t="s">
        <v>25</v>
      </c>
      <c r="L639" s="1" t="s">
        <v>25</v>
      </c>
      <c r="M639" s="1" t="s">
        <v>25</v>
      </c>
      <c r="N639" s="1" t="s">
        <v>27</v>
      </c>
      <c r="O639" s="1" t="s">
        <v>27</v>
      </c>
      <c r="P639" s="1" t="s">
        <v>26</v>
      </c>
      <c r="Q639" s="1" t="s">
        <v>26</v>
      </c>
    </row>
    <row r="640" spans="1:17" ht="16.5" customHeight="1" x14ac:dyDescent="0.25">
      <c r="A640" s="1" t="s">
        <v>84</v>
      </c>
      <c r="B640" s="1" t="s">
        <v>1311</v>
      </c>
      <c r="C640" s="1" t="s">
        <v>1312</v>
      </c>
      <c r="D640" s="44"/>
      <c r="E640" s="1" t="s">
        <v>45</v>
      </c>
      <c r="F640" s="1" t="s">
        <v>24</v>
      </c>
      <c r="G640" s="1" t="s">
        <v>24</v>
      </c>
      <c r="H640" s="26">
        <v>100</v>
      </c>
      <c r="I640" s="27" t="str">
        <f>HYPERLINK("https://doc.morningstar.com/Document/0063ab1a34682224bffbc4c6f9c083d9.msdoc?clientid=fnz&amp;key=9c0e4d166b60ffd3","TMD")</f>
        <v>TMD</v>
      </c>
      <c r="J640" t="s">
        <v>25</v>
      </c>
      <c r="K640" s="1" t="s">
        <v>25</v>
      </c>
      <c r="L640" s="1" t="s">
        <v>25</v>
      </c>
      <c r="M640" s="1" t="s">
        <v>25</v>
      </c>
      <c r="N640" s="1" t="s">
        <v>27</v>
      </c>
      <c r="O640" s="1" t="s">
        <v>27</v>
      </c>
      <c r="P640" s="1" t="s">
        <v>26</v>
      </c>
      <c r="Q640" s="1" t="s">
        <v>26</v>
      </c>
    </row>
    <row r="641" spans="1:17" ht="16.5" customHeight="1" x14ac:dyDescent="0.25">
      <c r="A641" s="1" t="s">
        <v>141</v>
      </c>
      <c r="B641" s="1" t="s">
        <v>1313</v>
      </c>
      <c r="C641" s="1" t="s">
        <v>1314</v>
      </c>
      <c r="D641" s="44"/>
      <c r="E641" s="1" t="s">
        <v>23</v>
      </c>
      <c r="F641" s="1" t="s">
        <v>24</v>
      </c>
      <c r="G641" s="1" t="s">
        <v>24</v>
      </c>
      <c r="H641" s="26">
        <v>20</v>
      </c>
      <c r="I641" s="27" t="str">
        <f>HYPERLINK("https://doc.morningstar.com/Document/c7ed23934975de6b892d669e5e705711.msdoc?clientid=fnz&amp;key=9c0e4d166b60ffd3","TMD")</f>
        <v>TMD</v>
      </c>
      <c r="J641" t="s">
        <v>62</v>
      </c>
      <c r="K641" s="1" t="s">
        <v>25</v>
      </c>
      <c r="L641" s="1" t="s">
        <v>25</v>
      </c>
      <c r="M641" s="1" t="s">
        <v>25</v>
      </c>
      <c r="N641" s="1" t="s">
        <v>26</v>
      </c>
      <c r="O641" s="1" t="s">
        <v>26</v>
      </c>
      <c r="P641" s="1" t="s">
        <v>26</v>
      </c>
      <c r="Q641" s="1" t="s">
        <v>27</v>
      </c>
    </row>
    <row r="642" spans="1:17" ht="16.5" customHeight="1" x14ac:dyDescent="0.25">
      <c r="A642" s="1" t="s">
        <v>52</v>
      </c>
      <c r="B642" s="1" t="s">
        <v>1315</v>
      </c>
      <c r="C642" s="1" t="s">
        <v>1316</v>
      </c>
      <c r="D642" s="44"/>
      <c r="E642" s="1" t="s">
        <v>40</v>
      </c>
      <c r="F642" s="1" t="s">
        <v>24</v>
      </c>
      <c r="G642" s="1" t="s">
        <v>24</v>
      </c>
      <c r="H642" s="26">
        <v>100</v>
      </c>
      <c r="I642" s="27" t="str">
        <f>HYPERLINK("https://doc.morningstar.com/Document/eb585798085368b149e6140e5a548ea8.msdoc?clientid=fnz&amp;key=9c0e4d166b60ffd3","TMD")</f>
        <v>TMD</v>
      </c>
      <c r="J642" t="s">
        <v>62</v>
      </c>
      <c r="K642" s="1" t="s">
        <v>25</v>
      </c>
      <c r="L642" s="1" t="s">
        <v>25</v>
      </c>
      <c r="M642" s="1" t="s">
        <v>25</v>
      </c>
      <c r="N642" s="1" t="s">
        <v>26</v>
      </c>
      <c r="O642" s="1" t="s">
        <v>27</v>
      </c>
      <c r="P642" s="1" t="s">
        <v>27</v>
      </c>
      <c r="Q642" s="1" t="s">
        <v>26</v>
      </c>
    </row>
    <row r="643" spans="1:17" ht="16.5" customHeight="1" x14ac:dyDescent="0.25">
      <c r="A643" s="1" t="s">
        <v>58</v>
      </c>
      <c r="B643" s="1" t="s">
        <v>1317</v>
      </c>
      <c r="C643" s="1" t="s">
        <v>1318</v>
      </c>
      <c r="D643" s="44"/>
      <c r="E643" s="1" t="s">
        <v>23</v>
      </c>
      <c r="F643" s="1" t="s">
        <v>24</v>
      </c>
      <c r="G643" s="1" t="s">
        <v>24</v>
      </c>
      <c r="H643" s="26">
        <v>100</v>
      </c>
      <c r="I643" s="27" t="str">
        <f>HYPERLINK("https://doc.morningstar.com/Document/652c8648e72c25b15e8434667f4b9073.msdoc?clientid=fnz&amp;key=9c0e4d166b60ffd3","TMD")</f>
        <v>TMD</v>
      </c>
      <c r="J643" t="s">
        <v>25</v>
      </c>
      <c r="K643" s="1" t="s">
        <v>25</v>
      </c>
      <c r="L643" s="1" t="s">
        <v>25</v>
      </c>
      <c r="M643" s="1" t="s">
        <v>25</v>
      </c>
      <c r="N643" s="1" t="s">
        <v>26</v>
      </c>
      <c r="O643" s="1" t="s">
        <v>26</v>
      </c>
      <c r="P643" s="1" t="s">
        <v>27</v>
      </c>
      <c r="Q643" s="1" t="s">
        <v>26</v>
      </c>
    </row>
    <row r="644" spans="1:17" ht="16.5" customHeight="1" x14ac:dyDescent="0.25">
      <c r="A644" s="1" t="s">
        <v>52</v>
      </c>
      <c r="B644" s="1" t="s">
        <v>1319</v>
      </c>
      <c r="C644" s="1" t="s">
        <v>1320</v>
      </c>
      <c r="D644" s="44"/>
      <c r="E644" s="1" t="s">
        <v>40</v>
      </c>
      <c r="F644" s="1" t="s">
        <v>24</v>
      </c>
      <c r="G644" s="1" t="s">
        <v>24</v>
      </c>
      <c r="H644" s="26">
        <v>100</v>
      </c>
      <c r="I644" s="27" t="str">
        <f>HYPERLINK("https://doc.morningstar.com/Document/500f16c57c577bac3e1edef09c8a97d3.msdoc?clientid=fnz&amp;key=9c0e4d166b60ffd3","TMD")</f>
        <v>TMD</v>
      </c>
      <c r="J644" t="s">
        <v>25</v>
      </c>
      <c r="K644" s="1" t="s">
        <v>25</v>
      </c>
      <c r="L644" s="1" t="s">
        <v>25</v>
      </c>
      <c r="M644" s="1" t="s">
        <v>25</v>
      </c>
      <c r="N644" s="1" t="s">
        <v>26</v>
      </c>
      <c r="O644" s="1" t="s">
        <v>27</v>
      </c>
      <c r="P644" s="1" t="s">
        <v>26</v>
      </c>
      <c r="Q644" s="1" t="s">
        <v>26</v>
      </c>
    </row>
    <row r="645" spans="1:17" ht="16.5" customHeight="1" x14ac:dyDescent="0.25">
      <c r="A645" s="1" t="s">
        <v>37</v>
      </c>
      <c r="B645" s="1" t="s">
        <v>1321</v>
      </c>
      <c r="C645" s="1" t="s">
        <v>1322</v>
      </c>
      <c r="D645" s="44"/>
      <c r="E645" s="1" t="s">
        <v>40</v>
      </c>
      <c r="F645" s="1" t="s">
        <v>24</v>
      </c>
      <c r="G645" s="1" t="s">
        <v>24</v>
      </c>
      <c r="H645" s="26">
        <v>50</v>
      </c>
      <c r="I645" s="27" t="str">
        <f>HYPERLINK("https://doc.morningstar.com/Document/d5c39660c95b57e16d678991a4f47d73.msdoc?clientid=fnz&amp;key=9c0e4d166b60ffd3","TMD")</f>
        <v>TMD</v>
      </c>
      <c r="J645" t="s">
        <v>25</v>
      </c>
      <c r="K645" s="1" t="s">
        <v>25</v>
      </c>
      <c r="L645" s="1" t="s">
        <v>25</v>
      </c>
      <c r="M645" s="1" t="s">
        <v>25</v>
      </c>
      <c r="N645" s="1" t="s">
        <v>26</v>
      </c>
      <c r="O645" s="1" t="s">
        <v>27</v>
      </c>
      <c r="P645" s="1" t="s">
        <v>27</v>
      </c>
      <c r="Q645" s="1" t="s">
        <v>26</v>
      </c>
    </row>
    <row r="646" spans="1:17" ht="16.5" customHeight="1" x14ac:dyDescent="0.25">
      <c r="A646" s="1" t="s">
        <v>52</v>
      </c>
      <c r="B646" s="1" t="s">
        <v>1323</v>
      </c>
      <c r="C646" s="1" t="s">
        <v>1324</v>
      </c>
      <c r="D646" s="44"/>
      <c r="E646" s="1" t="s">
        <v>40</v>
      </c>
      <c r="F646" s="1" t="s">
        <v>24</v>
      </c>
      <c r="G646" s="1" t="s">
        <v>24</v>
      </c>
      <c r="H646" s="26">
        <v>100</v>
      </c>
      <c r="I646" s="27" t="str">
        <f>HYPERLINK("https://doc.morningstar.com/Document/059b720b88525843e89fa83e59a6ffb0.msdoc?clientid=fnz&amp;key=9c0e4d166b60ffd3","TMD")</f>
        <v>TMD</v>
      </c>
      <c r="J646" t="s">
        <v>25</v>
      </c>
      <c r="K646" s="1" t="s">
        <v>25</v>
      </c>
      <c r="L646" s="1" t="s">
        <v>25</v>
      </c>
      <c r="M646" s="1" t="s">
        <v>25</v>
      </c>
      <c r="N646" s="1" t="s">
        <v>26</v>
      </c>
      <c r="O646" s="1" t="s">
        <v>27</v>
      </c>
      <c r="P646" s="1" t="s">
        <v>26</v>
      </c>
      <c r="Q646" s="1" t="s">
        <v>26</v>
      </c>
    </row>
    <row r="647" spans="1:17" ht="16.5" customHeight="1" x14ac:dyDescent="0.25">
      <c r="A647" s="1" t="s">
        <v>52</v>
      </c>
      <c r="B647" s="1" t="s">
        <v>1325</v>
      </c>
      <c r="C647" s="1" t="s">
        <v>1326</v>
      </c>
      <c r="D647" s="44"/>
      <c r="E647" s="1" t="s">
        <v>61</v>
      </c>
      <c r="F647" s="1" t="s">
        <v>24</v>
      </c>
      <c r="G647" s="1" t="s">
        <v>24</v>
      </c>
      <c r="H647" s="26">
        <v>100</v>
      </c>
      <c r="I647" s="27" t="str">
        <f>HYPERLINK("https://doc.morningstar.com/Document/3d0f225e90510f64df0cf2dbabb931d9.msdoc?clientid=fnz&amp;key=9c0e4d166b60ffd3","TMD")</f>
        <v>TMD</v>
      </c>
      <c r="J647" t="s">
        <v>25</v>
      </c>
      <c r="K647" s="1" t="s">
        <v>25</v>
      </c>
      <c r="L647" s="1" t="s">
        <v>25</v>
      </c>
      <c r="M647" s="1" t="s">
        <v>25</v>
      </c>
      <c r="N647" s="1" t="s">
        <v>26</v>
      </c>
      <c r="O647" s="1" t="s">
        <v>27</v>
      </c>
      <c r="P647" s="1" t="s">
        <v>27</v>
      </c>
      <c r="Q647" s="1" t="s">
        <v>27</v>
      </c>
    </row>
    <row r="648" spans="1:17" ht="16.5" customHeight="1" x14ac:dyDescent="0.25">
      <c r="A648" s="1" t="s">
        <v>55</v>
      </c>
      <c r="B648" s="1" t="s">
        <v>1327</v>
      </c>
      <c r="C648" s="1" t="s">
        <v>1328</v>
      </c>
      <c r="D648" s="44"/>
      <c r="E648" s="1" t="s">
        <v>23</v>
      </c>
      <c r="F648" s="1" t="s">
        <v>24</v>
      </c>
      <c r="G648" s="1" t="s">
        <v>24</v>
      </c>
      <c r="H648" s="26">
        <v>100</v>
      </c>
      <c r="I648" s="27" t="str">
        <f>HYPERLINK("https://doc.morningstar.com/Document/2ede9bd8ea57f4ca59beddfed7fa3782.msdoc?clientid=fnz&amp;key=9c0e4d166b60ffd3","TMD")</f>
        <v>TMD</v>
      </c>
      <c r="J648" t="s">
        <v>62</v>
      </c>
      <c r="K648" s="1" t="s">
        <v>25</v>
      </c>
      <c r="L648" s="1" t="s">
        <v>25</v>
      </c>
      <c r="M648" s="1" t="s">
        <v>25</v>
      </c>
      <c r="N648" s="1" t="s">
        <v>26</v>
      </c>
      <c r="O648" s="1" t="s">
        <v>26</v>
      </c>
      <c r="P648" s="1" t="s">
        <v>27</v>
      </c>
      <c r="Q648" s="1" t="s">
        <v>27</v>
      </c>
    </row>
    <row r="649" spans="1:17" ht="16.5" customHeight="1" x14ac:dyDescent="0.25">
      <c r="A649" s="1" t="s">
        <v>58</v>
      </c>
      <c r="B649" s="1" t="s">
        <v>1329</v>
      </c>
      <c r="C649" s="1" t="s">
        <v>1330</v>
      </c>
      <c r="D649" s="44"/>
      <c r="E649" s="1" t="s">
        <v>61</v>
      </c>
      <c r="F649" s="1" t="s">
        <v>24</v>
      </c>
      <c r="G649" s="1" t="s">
        <v>24</v>
      </c>
      <c r="H649" s="26">
        <v>100</v>
      </c>
      <c r="I649" s="27" t="str">
        <f>HYPERLINK("https://doc.morningstar.com/Document/241dd7622ff025d2dd7191c021758fb8.msdoc?clientid=fnz&amp;key=9c0e4d166b60ffd3","TMD")</f>
        <v>TMD</v>
      </c>
      <c r="J649" t="s">
        <v>62</v>
      </c>
      <c r="K649" s="1" t="s">
        <v>25</v>
      </c>
      <c r="L649" s="1" t="s">
        <v>25</v>
      </c>
      <c r="M649" s="1" t="s">
        <v>25</v>
      </c>
      <c r="N649" s="1" t="s">
        <v>26</v>
      </c>
      <c r="O649" s="1" t="s">
        <v>26</v>
      </c>
      <c r="P649" s="1" t="s">
        <v>27</v>
      </c>
      <c r="Q649" s="1" t="s">
        <v>27</v>
      </c>
    </row>
    <row r="650" spans="1:17" ht="16.5" customHeight="1" x14ac:dyDescent="0.25">
      <c r="A650" s="1" t="s">
        <v>281</v>
      </c>
      <c r="B650" s="1" t="s">
        <v>1331</v>
      </c>
      <c r="C650" s="1" t="s">
        <v>1332</v>
      </c>
      <c r="D650" s="44"/>
      <c r="E650" s="1" t="s">
        <v>45</v>
      </c>
      <c r="F650" s="1" t="s">
        <v>24</v>
      </c>
      <c r="G650" s="1" t="s">
        <v>24</v>
      </c>
      <c r="H650" s="26">
        <v>100</v>
      </c>
      <c r="I650" s="27" t="str">
        <f>HYPERLINK("https://doc.morningstar.com/Document/3d0f225e90510f6469ce4a5c50253b34.msdoc?clientid=fnz&amp;key=9c0e4d166b60ffd3","TMD")</f>
        <v>TMD</v>
      </c>
      <c r="J650" t="s">
        <v>62</v>
      </c>
      <c r="K650" s="1" t="s">
        <v>25</v>
      </c>
      <c r="L650" s="1" t="s">
        <v>25</v>
      </c>
      <c r="M650" s="1" t="s">
        <v>25</v>
      </c>
      <c r="N650" s="1" t="s">
        <v>27</v>
      </c>
      <c r="O650" s="1" t="s">
        <v>27</v>
      </c>
      <c r="P650" s="1" t="s">
        <v>27</v>
      </c>
      <c r="Q650" s="1" t="s">
        <v>27</v>
      </c>
    </row>
    <row r="651" spans="1:17" ht="16.5" customHeight="1" x14ac:dyDescent="0.25">
      <c r="A651" s="1" t="s">
        <v>58</v>
      </c>
      <c r="B651" s="1" t="s">
        <v>1333</v>
      </c>
      <c r="C651" s="1" t="s">
        <v>1334</v>
      </c>
      <c r="D651" s="44"/>
      <c r="E651" s="1" t="s">
        <v>61</v>
      </c>
      <c r="F651" s="1" t="s">
        <v>24</v>
      </c>
      <c r="G651" s="1" t="s">
        <v>24</v>
      </c>
      <c r="H651" s="26">
        <v>100</v>
      </c>
      <c r="I651" s="27" t="str">
        <f>HYPERLINK("https://doc.morningstar.com/Document/330288fc2315d13e17aada5e00ba8021.msdoc?clientid=fnz&amp;key=9c0e4d166b60ffd3","TMD")</f>
        <v>TMD</v>
      </c>
      <c r="J651" t="s">
        <v>25</v>
      </c>
      <c r="K651" s="1" t="s">
        <v>25</v>
      </c>
      <c r="L651" s="1" t="s">
        <v>25</v>
      </c>
      <c r="M651" s="1" t="s">
        <v>25</v>
      </c>
      <c r="N651" s="1" t="s">
        <v>26</v>
      </c>
      <c r="O651" s="1" t="s">
        <v>26</v>
      </c>
      <c r="P651" s="1" t="s">
        <v>27</v>
      </c>
      <c r="Q651" s="1" t="s">
        <v>27</v>
      </c>
    </row>
    <row r="652" spans="1:17" ht="16.5" customHeight="1" x14ac:dyDescent="0.25">
      <c r="A652" s="1" t="s">
        <v>28</v>
      </c>
      <c r="B652" s="1" t="s">
        <v>1335</v>
      </c>
      <c r="C652" s="1" t="s">
        <v>1336</v>
      </c>
      <c r="D652" s="44"/>
      <c r="E652" s="1" t="s">
        <v>61</v>
      </c>
      <c r="F652" s="1" t="s">
        <v>24</v>
      </c>
      <c r="G652" s="1" t="s">
        <v>24</v>
      </c>
      <c r="H652" s="26">
        <v>30</v>
      </c>
      <c r="I652" s="27" t="str">
        <f>HYPERLINK("https://doc.morningstar.com/Document/9bbc141cab3e21f6665e6a80dc3857d7.msdoc?clientid=fnz&amp;key=9c0e4d166b60ffd3","TMD")</f>
        <v>TMD</v>
      </c>
      <c r="J652" t="s">
        <v>25</v>
      </c>
      <c r="K652" s="1" t="s">
        <v>25</v>
      </c>
      <c r="L652" s="1" t="s">
        <v>25</v>
      </c>
      <c r="M652" s="1" t="s">
        <v>25</v>
      </c>
      <c r="N652" s="1" t="s">
        <v>26</v>
      </c>
      <c r="O652" s="1" t="s">
        <v>26</v>
      </c>
      <c r="P652" s="1" t="s">
        <v>27</v>
      </c>
      <c r="Q652" s="1" t="s">
        <v>27</v>
      </c>
    </row>
    <row r="653" spans="1:17" ht="16.5" customHeight="1" x14ac:dyDescent="0.25">
      <c r="A653" s="1" t="s">
        <v>52</v>
      </c>
      <c r="B653" s="1" t="s">
        <v>1337</v>
      </c>
      <c r="C653" s="1" t="s">
        <v>1338</v>
      </c>
      <c r="D653" s="44"/>
      <c r="E653" s="1" t="s">
        <v>40</v>
      </c>
      <c r="F653" s="1" t="s">
        <v>24</v>
      </c>
      <c r="G653" s="1" t="s">
        <v>24</v>
      </c>
      <c r="H653" s="26">
        <v>100</v>
      </c>
      <c r="I653" s="27" t="str">
        <f>HYPERLINK("https://doc.morningstar.com/Document/cf6a5b8216110b644864667cfb8faf8d.msdoc?clientid=fnz&amp;key=9c0e4d166b60ffd3","TMD")</f>
        <v>TMD</v>
      </c>
      <c r="J653" t="s">
        <v>25</v>
      </c>
      <c r="K653" s="1" t="s">
        <v>25</v>
      </c>
      <c r="L653" s="1" t="s">
        <v>25</v>
      </c>
      <c r="M653" s="1" t="s">
        <v>25</v>
      </c>
      <c r="N653" s="1" t="s">
        <v>26</v>
      </c>
      <c r="O653" s="1" t="s">
        <v>27</v>
      </c>
      <c r="P653" s="1" t="s">
        <v>27</v>
      </c>
      <c r="Q653" s="1" t="s">
        <v>26</v>
      </c>
    </row>
    <row r="654" spans="1:17" ht="16.5" customHeight="1" x14ac:dyDescent="0.25">
      <c r="A654" s="1" t="s">
        <v>52</v>
      </c>
      <c r="B654" s="1" t="s">
        <v>1339</v>
      </c>
      <c r="C654" s="1" t="s">
        <v>1340</v>
      </c>
      <c r="D654" s="44"/>
      <c r="E654" s="1" t="s">
        <v>40</v>
      </c>
      <c r="F654" s="1" t="s">
        <v>24</v>
      </c>
      <c r="G654" s="1" t="s">
        <v>24</v>
      </c>
      <c r="H654" s="26">
        <v>100</v>
      </c>
      <c r="I654" s="27" t="str">
        <f>HYPERLINK("https://doc.morningstar.com/Document/31f6946a4f36fdb207db388e0416423c.msdoc?clientid=fnz&amp;key=9c0e4d166b60ffd3","TMD")</f>
        <v>TMD</v>
      </c>
      <c r="J654" t="s">
        <v>25</v>
      </c>
      <c r="K654" s="1" t="s">
        <v>25</v>
      </c>
      <c r="L654" s="1" t="s">
        <v>25</v>
      </c>
      <c r="M654" s="1" t="s">
        <v>25</v>
      </c>
      <c r="N654" s="1" t="s">
        <v>26</v>
      </c>
      <c r="O654" s="1" t="s">
        <v>27</v>
      </c>
      <c r="P654" s="1" t="s">
        <v>27</v>
      </c>
      <c r="Q654" s="1" t="s">
        <v>26</v>
      </c>
    </row>
    <row r="655" spans="1:17" ht="16.5" customHeight="1" x14ac:dyDescent="0.25">
      <c r="A655" s="1" t="s">
        <v>37</v>
      </c>
      <c r="B655" s="1" t="s">
        <v>1341</v>
      </c>
      <c r="C655" s="1" t="s">
        <v>1342</v>
      </c>
      <c r="D655" s="44"/>
      <c r="E655" s="1" t="s">
        <v>40</v>
      </c>
      <c r="F655" s="1" t="s">
        <v>24</v>
      </c>
      <c r="G655" s="1" t="s">
        <v>24</v>
      </c>
      <c r="H655" s="26">
        <v>50</v>
      </c>
      <c r="I655" s="27" t="str">
        <f>HYPERLINK("https://doc.morningstar.com/Document/e3efda5c3082f2af69d8785bb6ae535c.msdoc?clientid=fnz&amp;key=9c0e4d166b60ffd3","TMD")</f>
        <v>TMD</v>
      </c>
      <c r="J655" t="s">
        <v>25</v>
      </c>
      <c r="K655" s="1" t="s">
        <v>25</v>
      </c>
      <c r="L655" s="1" t="s">
        <v>25</v>
      </c>
      <c r="M655" s="1" t="s">
        <v>25</v>
      </c>
      <c r="N655" s="1" t="s">
        <v>26</v>
      </c>
      <c r="O655" s="1" t="s">
        <v>26</v>
      </c>
      <c r="P655" s="1" t="s">
        <v>27</v>
      </c>
      <c r="Q655" s="1" t="s">
        <v>26</v>
      </c>
    </row>
    <row r="656" spans="1:17" ht="16.5" customHeight="1" x14ac:dyDescent="0.25">
      <c r="A656" s="1" t="s">
        <v>37</v>
      </c>
      <c r="B656" s="1" t="s">
        <v>1343</v>
      </c>
      <c r="C656" s="1" t="s">
        <v>1344</v>
      </c>
      <c r="D656" s="44"/>
      <c r="E656" s="1" t="s">
        <v>40</v>
      </c>
      <c r="F656" s="1" t="s">
        <v>24</v>
      </c>
      <c r="G656" s="1" t="s">
        <v>24</v>
      </c>
      <c r="H656" s="26">
        <v>50</v>
      </c>
      <c r="I656" s="27" t="str">
        <f>HYPERLINK("https://doc.morningstar.com/Document/ced2f481b3573579e20a9fa6e13432cd.msdoc?clientid=fnz&amp;key=9c0e4d166b60ffd3","TMD")</f>
        <v>TMD</v>
      </c>
      <c r="J656" t="s">
        <v>25</v>
      </c>
      <c r="K656" s="1" t="s">
        <v>25</v>
      </c>
      <c r="L656" s="1" t="s">
        <v>25</v>
      </c>
      <c r="M656" s="1" t="s">
        <v>25</v>
      </c>
      <c r="N656" s="1" t="s">
        <v>26</v>
      </c>
      <c r="O656" s="1" t="s">
        <v>26</v>
      </c>
      <c r="P656" s="1" t="s">
        <v>27</v>
      </c>
      <c r="Q656" s="1" t="s">
        <v>26</v>
      </c>
    </row>
    <row r="657" spans="1:17" ht="16.5" customHeight="1" x14ac:dyDescent="0.25">
      <c r="A657" s="1" t="s">
        <v>37</v>
      </c>
      <c r="B657" s="1" t="s">
        <v>1345</v>
      </c>
      <c r="C657" s="1" t="s">
        <v>1346</v>
      </c>
      <c r="D657" s="44"/>
      <c r="E657" s="1" t="s">
        <v>40</v>
      </c>
      <c r="F657" s="1" t="s">
        <v>24</v>
      </c>
      <c r="G657" s="1" t="s">
        <v>24</v>
      </c>
      <c r="H657" s="26">
        <v>50</v>
      </c>
      <c r="I657" s="27" t="str">
        <f>HYPERLINK("https://doc.morningstar.com/Document/fc3a24a80c120d8e0f1b82eb4a1d5381.msdoc?clientid=fnz&amp;key=9c0e4d166b60ffd3","TMD")</f>
        <v>TMD</v>
      </c>
      <c r="J657" t="s">
        <v>25</v>
      </c>
      <c r="K657" s="1" t="s">
        <v>25</v>
      </c>
      <c r="L657" s="1" t="s">
        <v>25</v>
      </c>
      <c r="M657" s="1" t="s">
        <v>25</v>
      </c>
      <c r="N657" s="1" t="s">
        <v>26</v>
      </c>
      <c r="O657" s="1" t="s">
        <v>26</v>
      </c>
      <c r="P657" s="1" t="s">
        <v>27</v>
      </c>
      <c r="Q657" s="1" t="s">
        <v>26</v>
      </c>
    </row>
    <row r="658" spans="1:17" ht="16.5" customHeight="1" x14ac:dyDescent="0.25">
      <c r="A658" s="1" t="s">
        <v>68</v>
      </c>
      <c r="B658" s="1" t="s">
        <v>1347</v>
      </c>
      <c r="C658" s="1" t="s">
        <v>1348</v>
      </c>
      <c r="D658" s="44"/>
      <c r="E658" s="1" t="s">
        <v>45</v>
      </c>
      <c r="F658" s="1" t="s">
        <v>24</v>
      </c>
      <c r="G658" s="1" t="s">
        <v>24</v>
      </c>
      <c r="H658" s="26">
        <v>100</v>
      </c>
      <c r="I658" s="27" t="str">
        <f>HYPERLINK("https://doc.morningstar.com/Document/b8b5435184b5519a7188dbc32984c9ea.msdoc?clientid=fnz&amp;key=9c0e4d166b60ffd3","TMD")</f>
        <v>TMD</v>
      </c>
      <c r="J658" t="s">
        <v>62</v>
      </c>
      <c r="K658" s="1" t="s">
        <v>216</v>
      </c>
      <c r="L658" s="1" t="s">
        <v>27</v>
      </c>
      <c r="M658" s="1" t="s">
        <v>25</v>
      </c>
      <c r="N658" s="1" t="s">
        <v>26</v>
      </c>
      <c r="O658" s="1" t="s">
        <v>216</v>
      </c>
      <c r="P658" s="1" t="s">
        <v>27</v>
      </c>
      <c r="Q658" s="1" t="s">
        <v>27</v>
      </c>
    </row>
    <row r="659" spans="1:17" ht="16.5" customHeight="1" x14ac:dyDescent="0.25">
      <c r="A659" s="1" t="s">
        <v>31</v>
      </c>
      <c r="B659" s="1" t="s">
        <v>1349</v>
      </c>
      <c r="C659" s="1" t="s">
        <v>1350</v>
      </c>
      <c r="D659" s="44"/>
      <c r="E659" s="1" t="s">
        <v>23</v>
      </c>
      <c r="F659" s="1" t="s">
        <v>24</v>
      </c>
      <c r="G659" s="1" t="s">
        <v>24</v>
      </c>
      <c r="H659" s="26">
        <v>100</v>
      </c>
      <c r="I659" s="27" t="str">
        <f>HYPERLINK("https://doc.morningstar.com/Document/23ffdf7bf3d8de4819215ff1b1ca0241.msdoc?clientid=fnz&amp;key=9c0e4d166b60ffd3","TMD")</f>
        <v>TMD</v>
      </c>
      <c r="J659" t="s">
        <v>25</v>
      </c>
      <c r="K659" s="1" t="s">
        <v>25</v>
      </c>
      <c r="L659" s="1" t="s">
        <v>25</v>
      </c>
      <c r="M659" s="1" t="s">
        <v>25</v>
      </c>
      <c r="N659" s="1" t="s">
        <v>26</v>
      </c>
      <c r="O659" s="1" t="s">
        <v>26</v>
      </c>
      <c r="P659" s="1" t="s">
        <v>26</v>
      </c>
      <c r="Q659" s="1" t="s">
        <v>27</v>
      </c>
    </row>
    <row r="660" spans="1:17" ht="16.5" customHeight="1" x14ac:dyDescent="0.25">
      <c r="A660" s="1" t="s">
        <v>84</v>
      </c>
      <c r="B660" s="1" t="s">
        <v>1351</v>
      </c>
      <c r="C660" s="1" t="s">
        <v>1352</v>
      </c>
      <c r="D660" s="44"/>
      <c r="E660" s="1" t="s">
        <v>40</v>
      </c>
      <c r="F660" s="1" t="s">
        <v>24</v>
      </c>
      <c r="G660" s="1" t="s">
        <v>24</v>
      </c>
      <c r="H660" s="26">
        <v>100</v>
      </c>
      <c r="I660" s="27" t="str">
        <f>HYPERLINK("https://doc.morningstar.com/Document/05ce84b99d07e6f7a262a56fef22d2dc.msdoc?clientid=fnz&amp;key=9c0e4d166b60ffd3","TMD")</f>
        <v>TMD</v>
      </c>
      <c r="J660" t="s">
        <v>25</v>
      </c>
      <c r="K660" s="1" t="s">
        <v>25</v>
      </c>
      <c r="L660" s="1" t="s">
        <v>25</v>
      </c>
      <c r="M660" s="1" t="s">
        <v>25</v>
      </c>
      <c r="N660" s="1" t="s">
        <v>26</v>
      </c>
      <c r="O660" s="1" t="s">
        <v>27</v>
      </c>
      <c r="P660" s="1" t="s">
        <v>27</v>
      </c>
      <c r="Q660" s="1" t="s">
        <v>27</v>
      </c>
    </row>
    <row r="661" spans="1:17" ht="16.5" customHeight="1" x14ac:dyDescent="0.25">
      <c r="A661" s="1" t="s">
        <v>281</v>
      </c>
      <c r="B661" s="1" t="s">
        <v>1353</v>
      </c>
      <c r="C661" s="1" t="s">
        <v>1354</v>
      </c>
      <c r="D661" s="44"/>
      <c r="E661" s="1" t="s">
        <v>45</v>
      </c>
      <c r="F661" s="1" t="s">
        <v>24</v>
      </c>
      <c r="G661" s="1" t="s">
        <v>24</v>
      </c>
      <c r="H661" s="26">
        <v>100</v>
      </c>
      <c r="I661" s="27" t="str">
        <f>HYPERLINK("https://doc.morningstar.com/Document/a0af552d802b9ef7a771621fc7d1e6ad.msdoc?clientid=fnz&amp;key=9c0e4d166b60ffd3","TMD")</f>
        <v>TMD</v>
      </c>
      <c r="J661" t="s">
        <v>25</v>
      </c>
      <c r="K661" s="1" t="s">
        <v>26</v>
      </c>
      <c r="L661" s="1" t="s">
        <v>27</v>
      </c>
      <c r="M661" s="1" t="s">
        <v>26</v>
      </c>
      <c r="N661" s="1" t="s">
        <v>26</v>
      </c>
      <c r="O661" s="1" t="s">
        <v>27</v>
      </c>
      <c r="P661" s="1" t="s">
        <v>26</v>
      </c>
      <c r="Q661" s="1" t="s">
        <v>26</v>
      </c>
    </row>
    <row r="662" spans="1:17" ht="16.5" customHeight="1" x14ac:dyDescent="0.25">
      <c r="A662" s="1" t="s">
        <v>34</v>
      </c>
      <c r="B662" s="1" t="s">
        <v>1355</v>
      </c>
      <c r="C662" s="1" t="s">
        <v>1356</v>
      </c>
      <c r="D662" s="44"/>
      <c r="E662" s="1" t="s">
        <v>40</v>
      </c>
      <c r="F662" s="1" t="s">
        <v>24</v>
      </c>
      <c r="G662" s="1" t="s">
        <v>24</v>
      </c>
      <c r="H662" s="26">
        <v>30</v>
      </c>
      <c r="I662" s="27" t="str">
        <f>HYPERLINK("https://doc.morningstar.com/Document/2c6399bc9b52c30a45392c5609f3db9f.msdoc?clientid=fnz&amp;key=9c0e4d166b60ffd3","TMD")</f>
        <v>TMD</v>
      </c>
      <c r="J662" t="s">
        <v>25</v>
      </c>
      <c r="K662" s="1" t="s">
        <v>26</v>
      </c>
      <c r="L662" s="1" t="s">
        <v>27</v>
      </c>
      <c r="M662" s="1" t="s">
        <v>26</v>
      </c>
      <c r="N662" s="1" t="s">
        <v>26</v>
      </c>
      <c r="O662" s="1" t="s">
        <v>26</v>
      </c>
      <c r="P662" s="1" t="s">
        <v>27</v>
      </c>
      <c r="Q662" s="1" t="s">
        <v>26</v>
      </c>
    </row>
    <row r="663" spans="1:17" ht="16.5" customHeight="1" x14ac:dyDescent="0.25">
      <c r="A663" s="1" t="s">
        <v>34</v>
      </c>
      <c r="B663" s="1" t="s">
        <v>1357</v>
      </c>
      <c r="C663" s="1" t="s">
        <v>1358</v>
      </c>
      <c r="D663" s="44"/>
      <c r="E663" s="1" t="s">
        <v>23</v>
      </c>
      <c r="F663" s="1" t="s">
        <v>24</v>
      </c>
      <c r="G663" s="1" t="s">
        <v>24</v>
      </c>
      <c r="H663" s="26">
        <v>30</v>
      </c>
      <c r="I663" s="27" t="str">
        <f>HYPERLINK("https://doc.morningstar.com/Document/5ff311738ba56500ed8b61ea9cede180.msdoc?clientid=fnz&amp;key=9c0e4d166b60ffd3","TMD")</f>
        <v>TMD</v>
      </c>
      <c r="J663" t="s">
        <v>62</v>
      </c>
      <c r="K663" s="1" t="s">
        <v>26</v>
      </c>
      <c r="L663" s="1" t="s">
        <v>27</v>
      </c>
      <c r="M663" s="1" t="s">
        <v>26</v>
      </c>
      <c r="N663" s="1" t="s">
        <v>26</v>
      </c>
      <c r="O663" s="1" t="s">
        <v>26</v>
      </c>
      <c r="P663" s="1" t="s">
        <v>26</v>
      </c>
      <c r="Q663" s="1" t="s">
        <v>27</v>
      </c>
    </row>
    <row r="664" spans="1:17" ht="16.5" customHeight="1" x14ac:dyDescent="0.25">
      <c r="A664" s="1" t="s">
        <v>37</v>
      </c>
      <c r="B664" s="1" t="s">
        <v>1359</v>
      </c>
      <c r="C664" s="1" t="s">
        <v>1360</v>
      </c>
      <c r="D664" s="44"/>
      <c r="E664" s="1" t="s">
        <v>40</v>
      </c>
      <c r="F664" s="1" t="s">
        <v>24</v>
      </c>
      <c r="G664" s="1" t="s">
        <v>24</v>
      </c>
      <c r="H664" s="26">
        <v>50</v>
      </c>
      <c r="I664" s="27" t="str">
        <f>HYPERLINK("https://doc.morningstar.com/Document/1bbd728196f4a25dce52d8af856adfde.msdoc?clientid=fnz&amp;key=9c0e4d166b60ffd3","TMD")</f>
        <v>TMD</v>
      </c>
      <c r="J664" t="s">
        <v>25</v>
      </c>
      <c r="K664" s="1" t="s">
        <v>25</v>
      </c>
      <c r="L664" s="1" t="s">
        <v>25</v>
      </c>
      <c r="M664" s="1" t="s">
        <v>25</v>
      </c>
      <c r="N664" s="1" t="s">
        <v>26</v>
      </c>
      <c r="O664" s="1" t="s">
        <v>26</v>
      </c>
      <c r="P664" s="1" t="s">
        <v>27</v>
      </c>
      <c r="Q664" s="1" t="s">
        <v>27</v>
      </c>
    </row>
    <row r="665" spans="1:17" ht="16.5" customHeight="1" x14ac:dyDescent="0.25">
      <c r="A665" s="1" t="s">
        <v>225</v>
      </c>
      <c r="B665" s="1" t="s">
        <v>1361</v>
      </c>
      <c r="C665" s="1" t="s">
        <v>1362</v>
      </c>
      <c r="D665" s="44"/>
      <c r="E665" s="1" t="s">
        <v>61</v>
      </c>
      <c r="F665" s="1" t="s">
        <v>24</v>
      </c>
      <c r="G665" s="1" t="s">
        <v>24</v>
      </c>
      <c r="H665" s="26">
        <v>30</v>
      </c>
      <c r="I665" s="27" t="str">
        <f>HYPERLINK("https://doc.morningstar.com/Document/d3164438c221724296b114dcc92dc1a0.msdoc?clientid=fnz&amp;key=9c0e4d166b60ffd3","TMD")</f>
        <v>TMD</v>
      </c>
      <c r="J665" t="s">
        <v>62</v>
      </c>
      <c r="K665" s="1" t="s">
        <v>26</v>
      </c>
      <c r="L665" s="1" t="s">
        <v>27</v>
      </c>
      <c r="M665" s="1" t="s">
        <v>26</v>
      </c>
      <c r="N665" s="1" t="s">
        <v>26</v>
      </c>
      <c r="O665" s="1" t="s">
        <v>26</v>
      </c>
      <c r="P665" s="1" t="s">
        <v>26</v>
      </c>
      <c r="Q665" s="1" t="s">
        <v>27</v>
      </c>
    </row>
    <row r="666" spans="1:17" ht="16.5" customHeight="1" x14ac:dyDescent="0.25">
      <c r="A666" s="1" t="s">
        <v>184</v>
      </c>
      <c r="B666" s="1" t="s">
        <v>1363</v>
      </c>
      <c r="C666" s="1" t="s">
        <v>1364</v>
      </c>
      <c r="D666" s="44"/>
      <c r="E666" s="1" t="s">
        <v>40</v>
      </c>
      <c r="F666" s="1" t="s">
        <v>24</v>
      </c>
      <c r="G666" s="1" t="s">
        <v>24</v>
      </c>
      <c r="H666" s="26">
        <v>100</v>
      </c>
      <c r="I666" s="27" t="str">
        <f>HYPERLINK("https://doc.morningstar.com/Document/8bd1689c1b9f475bf903cdb49f84709d.msdoc?clientid=fnz&amp;key=9c0e4d166b60ffd3","TMD")</f>
        <v>TMD</v>
      </c>
      <c r="J666" t="s">
        <v>25</v>
      </c>
      <c r="K666" s="1" t="s">
        <v>25</v>
      </c>
      <c r="L666" s="1" t="s">
        <v>25</v>
      </c>
      <c r="M666" s="1" t="s">
        <v>25</v>
      </c>
      <c r="N666" s="1" t="s">
        <v>26</v>
      </c>
      <c r="O666" s="1" t="s">
        <v>27</v>
      </c>
      <c r="P666" s="1" t="s">
        <v>26</v>
      </c>
      <c r="Q666" s="1" t="s">
        <v>26</v>
      </c>
    </row>
    <row r="667" spans="1:17" ht="16.5" customHeight="1" x14ac:dyDescent="0.25">
      <c r="A667" s="1" t="s">
        <v>31</v>
      </c>
      <c r="B667" s="1" t="s">
        <v>1365</v>
      </c>
      <c r="C667" s="1" t="s">
        <v>1366</v>
      </c>
      <c r="D667" s="44"/>
      <c r="E667" s="1" t="s">
        <v>40</v>
      </c>
      <c r="F667" s="1" t="s">
        <v>24</v>
      </c>
      <c r="G667" s="1" t="s">
        <v>24</v>
      </c>
      <c r="H667" s="26">
        <v>100</v>
      </c>
      <c r="I667" s="27" t="str">
        <f>HYPERLINK("https://doc.morningstar.com/Document/2af9a06e66cf7c1ca00532f2d5bad011.msdoc?clientid=fnz&amp;key=9c0e4d166b60ffd3","TMD")</f>
        <v>TMD</v>
      </c>
      <c r="J667" t="s">
        <v>25</v>
      </c>
      <c r="K667" s="1" t="s">
        <v>25</v>
      </c>
      <c r="L667" s="1" t="s">
        <v>25</v>
      </c>
      <c r="M667" s="1" t="s">
        <v>25</v>
      </c>
      <c r="N667" s="1" t="s">
        <v>26</v>
      </c>
      <c r="O667" s="1" t="s">
        <v>26</v>
      </c>
      <c r="P667" s="1" t="s">
        <v>27</v>
      </c>
      <c r="Q667" s="1" t="s">
        <v>27</v>
      </c>
    </row>
    <row r="668" spans="1:17" ht="16.5" customHeight="1" x14ac:dyDescent="0.25">
      <c r="A668" s="1" t="s">
        <v>58</v>
      </c>
      <c r="B668" s="1" t="s">
        <v>1367</v>
      </c>
      <c r="C668" s="1" t="s">
        <v>1368</v>
      </c>
      <c r="D668" s="44"/>
      <c r="E668" s="1" t="s">
        <v>40</v>
      </c>
      <c r="F668" s="1" t="s">
        <v>24</v>
      </c>
      <c r="G668" s="1" t="s">
        <v>24</v>
      </c>
      <c r="H668" s="26">
        <v>100</v>
      </c>
      <c r="I668" s="27" t="str">
        <f>HYPERLINK("https://doc.morningstar.com/Document/70e848b61b854fdfdaa14cf79c37db96.msdoc?clientid=fnz&amp;key=9c0e4d166b60ffd3","TMD")</f>
        <v>TMD</v>
      </c>
      <c r="J668" t="s">
        <v>25</v>
      </c>
      <c r="K668" s="1" t="s">
        <v>25</v>
      </c>
      <c r="L668" s="1" t="s">
        <v>25</v>
      </c>
      <c r="M668" s="1" t="s">
        <v>25</v>
      </c>
      <c r="N668" s="1" t="s">
        <v>26</v>
      </c>
      <c r="O668" s="1" t="s">
        <v>26</v>
      </c>
      <c r="P668" s="1" t="s">
        <v>27</v>
      </c>
      <c r="Q668" s="1" t="s">
        <v>27</v>
      </c>
    </row>
    <row r="669" spans="1:17" ht="16.5" customHeight="1" x14ac:dyDescent="0.25">
      <c r="A669" s="1" t="s">
        <v>81</v>
      </c>
      <c r="B669" s="1" t="s">
        <v>1369</v>
      </c>
      <c r="C669" s="1" t="s">
        <v>1370</v>
      </c>
      <c r="D669" s="44"/>
      <c r="E669" s="1" t="s">
        <v>40</v>
      </c>
      <c r="F669" s="1" t="s">
        <v>24</v>
      </c>
      <c r="G669" s="1" t="s">
        <v>24</v>
      </c>
      <c r="H669" s="26">
        <v>50</v>
      </c>
      <c r="I669" s="27" t="str">
        <f>HYPERLINK("https://doc.morningstar.com/Document/77c3c7a4aa6d33c4088778ca051b4aba.msdoc?clientid=fnz&amp;key=9c0e4d166b60ffd3","TMD")</f>
        <v>TMD</v>
      </c>
      <c r="J669" t="s">
        <v>25</v>
      </c>
      <c r="K669" s="1" t="s">
        <v>25</v>
      </c>
      <c r="L669" s="1" t="s">
        <v>25</v>
      </c>
      <c r="M669" s="1" t="s">
        <v>25</v>
      </c>
      <c r="N669" s="1" t="s">
        <v>26</v>
      </c>
      <c r="O669" s="1" t="s">
        <v>26</v>
      </c>
      <c r="P669" s="1" t="s">
        <v>27</v>
      </c>
      <c r="Q669" s="1" t="s">
        <v>27</v>
      </c>
    </row>
    <row r="670" spans="1:17" ht="16.5" customHeight="1" x14ac:dyDescent="0.25">
      <c r="A670" s="1" t="s">
        <v>225</v>
      </c>
      <c r="B670" s="1" t="s">
        <v>1371</v>
      </c>
      <c r="C670" s="1" t="s">
        <v>1372</v>
      </c>
      <c r="D670" s="44"/>
      <c r="E670" s="1" t="s">
        <v>40</v>
      </c>
      <c r="F670" s="1" t="s">
        <v>24</v>
      </c>
      <c r="G670" s="1" t="s">
        <v>24</v>
      </c>
      <c r="H670" s="26">
        <v>30</v>
      </c>
      <c r="I670" s="27" t="str">
        <f>HYPERLINK("https://doc.morningstar.com/Document/402480d467007b15d0335a622a43ff9b.msdoc?clientid=fnz&amp;key=9c0e4d166b60ffd3","TMD")</f>
        <v>TMD</v>
      </c>
      <c r="J670" t="s">
        <v>25</v>
      </c>
      <c r="K670" s="1" t="s">
        <v>25</v>
      </c>
      <c r="L670" s="1" t="s">
        <v>25</v>
      </c>
      <c r="M670" s="1" t="s">
        <v>25</v>
      </c>
      <c r="N670" s="1" t="s">
        <v>26</v>
      </c>
      <c r="O670" s="1" t="s">
        <v>26</v>
      </c>
      <c r="P670" s="1" t="s">
        <v>27</v>
      </c>
      <c r="Q670" s="1" t="s">
        <v>27</v>
      </c>
    </row>
    <row r="671" spans="1:17" ht="16.5" customHeight="1" x14ac:dyDescent="0.25">
      <c r="A671" s="1" t="s">
        <v>37</v>
      </c>
      <c r="B671" s="1" t="s">
        <v>1373</v>
      </c>
      <c r="C671" s="1" t="s">
        <v>1374</v>
      </c>
      <c r="D671" s="44"/>
      <c r="E671" s="1" t="s">
        <v>40</v>
      </c>
      <c r="F671" s="1" t="s">
        <v>24</v>
      </c>
      <c r="G671" s="1" t="s">
        <v>24</v>
      </c>
      <c r="H671" s="26">
        <v>50</v>
      </c>
      <c r="I671" s="27" t="str">
        <f>HYPERLINK("https://doc.morningstar.com/Document/8243ea57f9ba114fa7d47b02b5a8dc22.msdoc?clientid=fnz&amp;key=9c0e4d166b60ffd3","TMD")</f>
        <v>TMD</v>
      </c>
      <c r="J671" t="s">
        <v>25</v>
      </c>
      <c r="K671" s="1" t="s">
        <v>25</v>
      </c>
      <c r="L671" s="1" t="s">
        <v>25</v>
      </c>
      <c r="M671" s="1" t="s">
        <v>25</v>
      </c>
      <c r="N671" s="1" t="s">
        <v>26</v>
      </c>
      <c r="O671" s="1" t="s">
        <v>26</v>
      </c>
      <c r="P671" s="1" t="s">
        <v>27</v>
      </c>
      <c r="Q671" s="1" t="s">
        <v>27</v>
      </c>
    </row>
    <row r="672" spans="1:17" ht="16.5" customHeight="1" x14ac:dyDescent="0.25">
      <c r="A672" s="1" t="s">
        <v>37</v>
      </c>
      <c r="B672" s="1" t="s">
        <v>1375</v>
      </c>
      <c r="C672" s="1" t="s">
        <v>1376</v>
      </c>
      <c r="D672" s="44"/>
      <c r="E672" s="1" t="s">
        <v>40</v>
      </c>
      <c r="F672" s="1" t="s">
        <v>24</v>
      </c>
      <c r="G672" s="1" t="s">
        <v>24</v>
      </c>
      <c r="H672" s="26">
        <v>50</v>
      </c>
      <c r="I672" s="27" t="str">
        <f>HYPERLINK("https://doc.morningstar.com/Document/462f8d6bb06d43651fad05652eb9c77f.msdoc?clientid=fnz&amp;key=9c0e4d166b60ffd3","TMD")</f>
        <v>TMD</v>
      </c>
      <c r="J672" t="s">
        <v>25</v>
      </c>
      <c r="K672" s="1" t="s">
        <v>25</v>
      </c>
      <c r="L672" s="1" t="s">
        <v>25</v>
      </c>
      <c r="M672" s="1" t="s">
        <v>25</v>
      </c>
      <c r="N672" s="1" t="s">
        <v>26</v>
      </c>
      <c r="O672" s="1" t="s">
        <v>26</v>
      </c>
      <c r="P672" s="1" t="s">
        <v>27</v>
      </c>
      <c r="Q672" s="1" t="s">
        <v>27</v>
      </c>
    </row>
    <row r="673" spans="1:17" ht="16.5" customHeight="1" x14ac:dyDescent="0.25">
      <c r="A673" s="1" t="s">
        <v>318</v>
      </c>
      <c r="B673" s="1" t="s">
        <v>1377</v>
      </c>
      <c r="C673" s="1" t="s">
        <v>1378</v>
      </c>
      <c r="D673" s="44"/>
      <c r="E673" s="1" t="s">
        <v>45</v>
      </c>
      <c r="F673" s="1" t="s">
        <v>24</v>
      </c>
      <c r="G673" s="1" t="s">
        <v>24</v>
      </c>
      <c r="H673" s="26">
        <v>100</v>
      </c>
      <c r="I673" s="27" t="str">
        <f>HYPERLINK("https://doc.morningstar.com/Document/8bd1689c1b9f475b72f3b21ee4eb8132.msdoc?clientid=fnz&amp;key=9c0e4d166b60ffd3","TMD")</f>
        <v>TMD</v>
      </c>
      <c r="J673" t="s">
        <v>25</v>
      </c>
      <c r="K673" s="1" t="s">
        <v>25</v>
      </c>
      <c r="L673" s="1" t="s">
        <v>25</v>
      </c>
      <c r="M673" s="1" t="s">
        <v>25</v>
      </c>
      <c r="N673" s="1" t="s">
        <v>27</v>
      </c>
      <c r="O673" s="1" t="s">
        <v>26</v>
      </c>
      <c r="P673" s="1" t="s">
        <v>26</v>
      </c>
      <c r="Q673" s="1" t="s">
        <v>26</v>
      </c>
    </row>
    <row r="674" spans="1:17" ht="16.5" customHeight="1" x14ac:dyDescent="0.25">
      <c r="A674" s="1" t="s">
        <v>37</v>
      </c>
      <c r="B674" s="1" t="s">
        <v>1379</v>
      </c>
      <c r="C674" s="1" t="s">
        <v>1380</v>
      </c>
      <c r="D674" s="44"/>
      <c r="E674" s="1" t="s">
        <v>40</v>
      </c>
      <c r="F674" s="1" t="s">
        <v>24</v>
      </c>
      <c r="G674" s="1" t="s">
        <v>24</v>
      </c>
      <c r="H674" s="26">
        <v>50</v>
      </c>
      <c r="I674" s="27" t="str">
        <f>HYPERLINK("https://doc.morningstar.com/Document/8b892649c9aec31bf0885a87a79f4d29.msdoc?clientid=fnz&amp;key=9c0e4d166b60ffd3","TMD")</f>
        <v>TMD</v>
      </c>
      <c r="J674" t="s">
        <v>25</v>
      </c>
      <c r="K674" s="1" t="s">
        <v>25</v>
      </c>
      <c r="L674" s="1" t="s">
        <v>25</v>
      </c>
      <c r="M674" s="1" t="s">
        <v>25</v>
      </c>
      <c r="N674" s="1" t="s">
        <v>26</v>
      </c>
      <c r="O674" s="1" t="s">
        <v>26</v>
      </c>
      <c r="P674" s="1" t="s">
        <v>27</v>
      </c>
      <c r="Q674" s="1" t="s">
        <v>27</v>
      </c>
    </row>
    <row r="675" spans="1:17" ht="16.5" customHeight="1" x14ac:dyDescent="0.25">
      <c r="A675" s="1" t="s">
        <v>37</v>
      </c>
      <c r="B675" s="1" t="s">
        <v>1381</v>
      </c>
      <c r="C675" s="1" t="s">
        <v>1382</v>
      </c>
      <c r="D675" s="44"/>
      <c r="E675" s="1" t="s">
        <v>40</v>
      </c>
      <c r="F675" s="1" t="s">
        <v>195</v>
      </c>
      <c r="G675" s="1" t="s">
        <v>24</v>
      </c>
      <c r="H675" s="26">
        <v>50</v>
      </c>
      <c r="I675" s="27" t="str">
        <f>HYPERLINK("https://doc.morningstar.com/Document/b47e08b2ee60651232ffc2d874a6ba24.msdoc?clientid=fnz&amp;key=9c0e4d166b60ffd3","TMD")</f>
        <v>TMD</v>
      </c>
      <c r="J675" t="s">
        <v>25</v>
      </c>
      <c r="K675" s="1" t="s">
        <v>25</v>
      </c>
      <c r="L675" s="1" t="s">
        <v>25</v>
      </c>
      <c r="M675" s="1" t="s">
        <v>25</v>
      </c>
      <c r="N675" s="1" t="s">
        <v>26</v>
      </c>
      <c r="O675" s="1" t="s">
        <v>26</v>
      </c>
      <c r="P675" s="1" t="s">
        <v>27</v>
      </c>
      <c r="Q675" s="1" t="s">
        <v>27</v>
      </c>
    </row>
    <row r="676" spans="1:17" ht="16.5" customHeight="1" x14ac:dyDescent="0.25">
      <c r="A676" s="1" t="s">
        <v>184</v>
      </c>
      <c r="B676" s="1" t="s">
        <v>1383</v>
      </c>
      <c r="C676" s="1" t="s">
        <v>1384</v>
      </c>
      <c r="D676" s="44"/>
      <c r="E676" s="1" t="s">
        <v>40</v>
      </c>
      <c r="F676" s="1" t="s">
        <v>24</v>
      </c>
      <c r="G676" s="1" t="s">
        <v>24</v>
      </c>
      <c r="H676" s="26">
        <v>100</v>
      </c>
      <c r="I676" s="27" t="str">
        <f>HYPERLINK("https://doc.morningstar.com/Document/0f2f8fe68eb93c6f33c2ce1eb881439a.msdoc?clientid=fnz&amp;key=9c0e4d166b60ffd3","TMD")</f>
        <v>TMD</v>
      </c>
      <c r="J676" t="s">
        <v>25</v>
      </c>
      <c r="K676" s="1" t="s">
        <v>25</v>
      </c>
      <c r="L676" s="1" t="s">
        <v>25</v>
      </c>
      <c r="M676" s="1" t="s">
        <v>25</v>
      </c>
      <c r="N676" s="1" t="s">
        <v>26</v>
      </c>
      <c r="O676" s="1" t="s">
        <v>27</v>
      </c>
      <c r="P676" s="1" t="s">
        <v>26</v>
      </c>
      <c r="Q676" s="1" t="s">
        <v>26</v>
      </c>
    </row>
    <row r="677" spans="1:17" ht="16.5" customHeight="1" x14ac:dyDescent="0.25">
      <c r="A677" s="1" t="s">
        <v>52</v>
      </c>
      <c r="B677" s="1" t="s">
        <v>1385</v>
      </c>
      <c r="C677" s="1" t="s">
        <v>1386</v>
      </c>
      <c r="D677" s="44"/>
      <c r="E677" s="1" t="s">
        <v>40</v>
      </c>
      <c r="F677" s="1" t="s">
        <v>24</v>
      </c>
      <c r="G677" s="1" t="s">
        <v>24</v>
      </c>
      <c r="H677" s="26">
        <v>100</v>
      </c>
      <c r="I677" s="27" t="str">
        <f>HYPERLINK("https://doc.morningstar.com/Document/d48ab6e6656a851ee9c2cc0ecfe62ebd.msdoc?clientid=fnz&amp;key=9c0e4d166b60ffd3","TMD")</f>
        <v>TMD</v>
      </c>
      <c r="J677" t="s">
        <v>25</v>
      </c>
      <c r="K677" s="1" t="s">
        <v>25</v>
      </c>
      <c r="L677" s="1" t="s">
        <v>25</v>
      </c>
      <c r="M677" s="1" t="s">
        <v>25</v>
      </c>
      <c r="N677" s="1" t="s">
        <v>26</v>
      </c>
      <c r="O677" s="1" t="s">
        <v>27</v>
      </c>
      <c r="P677" s="1" t="s">
        <v>27</v>
      </c>
      <c r="Q677" s="1" t="s">
        <v>26</v>
      </c>
    </row>
    <row r="678" spans="1:17" ht="16.5" customHeight="1" x14ac:dyDescent="0.25">
      <c r="A678" s="1" t="s">
        <v>184</v>
      </c>
      <c r="B678" s="1" t="s">
        <v>1387</v>
      </c>
      <c r="C678" s="1" t="s">
        <v>1388</v>
      </c>
      <c r="D678" s="44"/>
      <c r="E678" s="1" t="s">
        <v>40</v>
      </c>
      <c r="F678" s="1" t="s">
        <v>24</v>
      </c>
      <c r="G678" s="1" t="s">
        <v>24</v>
      </c>
      <c r="H678" s="26">
        <v>100</v>
      </c>
      <c r="I678" s="27" t="str">
        <f>HYPERLINK("https://doc.morningstar.com/Document/73ec0922d25079a48be7f275f0cc547d.msdoc?clientid=fnz&amp;key=9c0e4d166b60ffd3","TMD")</f>
        <v>TMD</v>
      </c>
      <c r="J678" t="s">
        <v>25</v>
      </c>
      <c r="K678" s="1" t="s">
        <v>25</v>
      </c>
      <c r="L678" s="1" t="s">
        <v>25</v>
      </c>
      <c r="M678" s="1" t="s">
        <v>25</v>
      </c>
      <c r="N678" s="1" t="s">
        <v>26</v>
      </c>
      <c r="O678" s="1" t="s">
        <v>27</v>
      </c>
      <c r="P678" s="1" t="s">
        <v>26</v>
      </c>
      <c r="Q678" s="1" t="s">
        <v>26</v>
      </c>
    </row>
    <row r="679" spans="1:17" ht="16.5" customHeight="1" x14ac:dyDescent="0.25">
      <c r="A679" s="1" t="s">
        <v>52</v>
      </c>
      <c r="B679" s="1" t="s">
        <v>1389</v>
      </c>
      <c r="C679" s="1" t="s">
        <v>1390</v>
      </c>
      <c r="D679" s="44"/>
      <c r="E679" s="1" t="s">
        <v>40</v>
      </c>
      <c r="F679" s="1" t="s">
        <v>24</v>
      </c>
      <c r="G679" s="1" t="s">
        <v>24</v>
      </c>
      <c r="H679" s="26">
        <v>100</v>
      </c>
      <c r="I679" s="27" t="str">
        <f>HYPERLINK("https://doc.morningstar.com/Document/3e396680ed566ac6549a0f8d5898f5f0.msdoc?clientid=fnz&amp;key=9c0e4d166b60ffd3","TMD")</f>
        <v>TMD</v>
      </c>
      <c r="J679" t="s">
        <v>25</v>
      </c>
      <c r="K679" s="1" t="s">
        <v>25</v>
      </c>
      <c r="L679" s="1" t="s">
        <v>25</v>
      </c>
      <c r="M679" s="1" t="s">
        <v>25</v>
      </c>
      <c r="N679" s="1" t="s">
        <v>26</v>
      </c>
      <c r="O679" s="1" t="s">
        <v>27</v>
      </c>
      <c r="P679" s="1" t="s">
        <v>26</v>
      </c>
      <c r="Q679" s="1" t="s">
        <v>26</v>
      </c>
    </row>
    <row r="680" spans="1:17" ht="16.5" customHeight="1" x14ac:dyDescent="0.25">
      <c r="A680" s="1" t="s">
        <v>31</v>
      </c>
      <c r="B680" s="1" t="s">
        <v>1391</v>
      </c>
      <c r="C680" s="1" t="s">
        <v>1392</v>
      </c>
      <c r="D680" s="44"/>
      <c r="E680" s="1" t="s">
        <v>40</v>
      </c>
      <c r="F680" s="1" t="s">
        <v>24</v>
      </c>
      <c r="G680" s="1" t="s">
        <v>24</v>
      </c>
      <c r="H680" s="26">
        <v>100</v>
      </c>
      <c r="I680" s="27" t="str">
        <f>HYPERLINK("https://doc.morningstar.com/Document/3e2678a05d45f3daf24c5b8cb5dd41ba.msdoc?clientid=fnz&amp;key=9c0e4d166b60ffd3","TMD")</f>
        <v>TMD</v>
      </c>
      <c r="J680" t="s">
        <v>25</v>
      </c>
      <c r="K680" s="1" t="s">
        <v>25</v>
      </c>
      <c r="L680" s="1" t="s">
        <v>25</v>
      </c>
      <c r="M680" s="1" t="s">
        <v>25</v>
      </c>
      <c r="N680" s="1" t="s">
        <v>26</v>
      </c>
      <c r="O680" s="1" t="s">
        <v>26</v>
      </c>
      <c r="P680" s="1" t="s">
        <v>27</v>
      </c>
      <c r="Q680" s="1" t="s">
        <v>27</v>
      </c>
    </row>
    <row r="681" spans="1:17" ht="16.5" customHeight="1" x14ac:dyDescent="0.25">
      <c r="A681" s="1" t="s">
        <v>58</v>
      </c>
      <c r="B681" s="1" t="s">
        <v>1393</v>
      </c>
      <c r="C681" s="1" t="s">
        <v>1394</v>
      </c>
      <c r="D681" s="44"/>
      <c r="E681" s="1" t="s">
        <v>40</v>
      </c>
      <c r="F681" s="1" t="s">
        <v>24</v>
      </c>
      <c r="G681" s="1" t="s">
        <v>24</v>
      </c>
      <c r="H681" s="26">
        <v>100</v>
      </c>
      <c r="I681" s="27" t="str">
        <f>HYPERLINK("https://doc.morningstar.com/Document/7c4622e28c80e09c7ff8e2cc666427a5.msdoc?clientid=fnz&amp;key=9c0e4d166b60ffd3","TMD")</f>
        <v>TMD</v>
      </c>
      <c r="J681" t="s">
        <v>25</v>
      </c>
      <c r="K681" s="1" t="s">
        <v>25</v>
      </c>
      <c r="L681" s="1" t="s">
        <v>25</v>
      </c>
      <c r="M681" s="1" t="s">
        <v>25</v>
      </c>
      <c r="N681" s="1" t="s">
        <v>26</v>
      </c>
      <c r="O681" s="1" t="s">
        <v>26</v>
      </c>
      <c r="P681" s="1" t="s">
        <v>27</v>
      </c>
      <c r="Q681" s="1" t="s">
        <v>27</v>
      </c>
    </row>
    <row r="682" spans="1:17" ht="16.5" customHeight="1" x14ac:dyDescent="0.25">
      <c r="A682" s="1" t="s">
        <v>52</v>
      </c>
      <c r="B682" s="1" t="s">
        <v>1395</v>
      </c>
      <c r="C682" s="1" t="s">
        <v>1396</v>
      </c>
      <c r="D682" s="44"/>
      <c r="E682" s="1" t="s">
        <v>40</v>
      </c>
      <c r="F682" s="1" t="s">
        <v>24</v>
      </c>
      <c r="G682" s="1" t="s">
        <v>24</v>
      </c>
      <c r="H682" s="26">
        <v>100</v>
      </c>
      <c r="I682" s="27" t="str">
        <f>HYPERLINK("https://doc.morningstar.com/Document/d48ab6e6656a851e88aeaf646313935c.msdoc?clientid=fnz&amp;key=9c0e4d166b60ffd3","TMD")</f>
        <v>TMD</v>
      </c>
      <c r="J682" t="s">
        <v>25</v>
      </c>
      <c r="K682" s="1" t="s">
        <v>25</v>
      </c>
      <c r="L682" s="1" t="s">
        <v>25</v>
      </c>
      <c r="M682" s="1" t="s">
        <v>25</v>
      </c>
      <c r="N682" s="1" t="s">
        <v>26</v>
      </c>
      <c r="O682" s="1" t="s">
        <v>27</v>
      </c>
      <c r="P682" s="1" t="s">
        <v>27</v>
      </c>
      <c r="Q682" s="1" t="s">
        <v>26</v>
      </c>
    </row>
    <row r="683" spans="1:17" ht="16.5" customHeight="1" x14ac:dyDescent="0.25">
      <c r="A683" s="1" t="s">
        <v>76</v>
      </c>
      <c r="B683" s="1" t="s">
        <v>1397</v>
      </c>
      <c r="C683" s="1" t="s">
        <v>1398</v>
      </c>
      <c r="D683" s="44"/>
      <c r="E683" s="1" t="s">
        <v>40</v>
      </c>
      <c r="F683" s="1" t="s">
        <v>24</v>
      </c>
      <c r="G683" s="1" t="s">
        <v>24</v>
      </c>
      <c r="H683" s="26">
        <v>100</v>
      </c>
      <c r="I683" s="27" t="str">
        <f>HYPERLINK("https://doc.morningstar.com/Document/5e0bf2815173abf7c8cb123ac1b88709.msdoc?clientid=fnz&amp;key=9c0e4d166b60ffd3","TMD")</f>
        <v>TMD</v>
      </c>
      <c r="J683" t="s">
        <v>25</v>
      </c>
      <c r="K683" s="1" t="s">
        <v>25</v>
      </c>
      <c r="L683" s="1" t="s">
        <v>25</v>
      </c>
      <c r="M683" s="1" t="s">
        <v>25</v>
      </c>
      <c r="N683" s="1" t="s">
        <v>26</v>
      </c>
      <c r="O683" s="1" t="s">
        <v>27</v>
      </c>
      <c r="P683" s="1" t="s">
        <v>26</v>
      </c>
      <c r="Q683" s="1" t="s">
        <v>26</v>
      </c>
    </row>
    <row r="684" spans="1:17" ht="16.5" customHeight="1" x14ac:dyDescent="0.25">
      <c r="A684" s="1" t="s">
        <v>65</v>
      </c>
      <c r="B684" s="1" t="s">
        <v>1399</v>
      </c>
      <c r="C684" s="1" t="s">
        <v>1400</v>
      </c>
      <c r="D684" s="44"/>
      <c r="E684" s="1" t="s">
        <v>40</v>
      </c>
      <c r="F684" s="1" t="s">
        <v>24</v>
      </c>
      <c r="G684" s="1" t="s">
        <v>24</v>
      </c>
      <c r="H684" s="26">
        <v>100</v>
      </c>
      <c r="I684" s="27" t="str">
        <f>HYPERLINK("https://doc.morningstar.com/Document/42a998585b9327fac797553ace253654.msdoc?clientid=fnz&amp;key=9c0e4d166b60ffd3","TMD")</f>
        <v>TMD</v>
      </c>
      <c r="J684" t="s">
        <v>25</v>
      </c>
      <c r="K684" s="1" t="s">
        <v>25</v>
      </c>
      <c r="L684" s="1" t="s">
        <v>25</v>
      </c>
      <c r="M684" s="1" t="s">
        <v>25</v>
      </c>
      <c r="N684" s="1" t="s">
        <v>26</v>
      </c>
      <c r="O684" s="1" t="s">
        <v>27</v>
      </c>
      <c r="P684" s="1" t="s">
        <v>26</v>
      </c>
      <c r="Q684" s="1" t="s">
        <v>26</v>
      </c>
    </row>
    <row r="685" spans="1:17" ht="16.5" customHeight="1" x14ac:dyDescent="0.25">
      <c r="A685" s="1" t="s">
        <v>109</v>
      </c>
      <c r="B685" s="1" t="s">
        <v>1401</v>
      </c>
      <c r="C685" s="1" t="s">
        <v>1402</v>
      </c>
      <c r="D685" s="44"/>
      <c r="E685" s="1" t="s">
        <v>40</v>
      </c>
      <c r="F685" s="1" t="s">
        <v>24</v>
      </c>
      <c r="G685" s="1" t="s">
        <v>24</v>
      </c>
      <c r="H685" s="26">
        <v>100</v>
      </c>
      <c r="I685" s="27" t="str">
        <f>HYPERLINK("https://doc.morningstar.com/Document/56891559595518f2f55d8451a572e6bb.msdoc?clientid=fnz&amp;key=9c0e4d166b60ffd3","TMD")</f>
        <v>TMD</v>
      </c>
      <c r="J685" t="s">
        <v>25</v>
      </c>
      <c r="K685" s="1" t="s">
        <v>25</v>
      </c>
      <c r="L685" s="1" t="s">
        <v>25</v>
      </c>
      <c r="M685" s="1" t="s">
        <v>25</v>
      </c>
      <c r="N685" s="1" t="s">
        <v>26</v>
      </c>
      <c r="O685" s="1" t="s">
        <v>26</v>
      </c>
      <c r="P685" s="1" t="s">
        <v>27</v>
      </c>
      <c r="Q685" s="1" t="s">
        <v>27</v>
      </c>
    </row>
    <row r="686" spans="1:17" ht="16.5" customHeight="1" x14ac:dyDescent="0.25">
      <c r="A686" s="1" t="s">
        <v>122</v>
      </c>
      <c r="B686" s="1" t="s">
        <v>1403</v>
      </c>
      <c r="C686" s="1" t="s">
        <v>1404</v>
      </c>
      <c r="D686" s="44"/>
      <c r="E686" s="1" t="s">
        <v>40</v>
      </c>
      <c r="F686" s="1" t="s">
        <v>24</v>
      </c>
      <c r="G686" s="1" t="s">
        <v>24</v>
      </c>
      <c r="H686" s="26">
        <v>100</v>
      </c>
      <c r="I686" s="27" t="str">
        <f>HYPERLINK("https://doc.morningstar.com/Document/aa7622729d735115094562de27157a41.msdoc?clientid=fnz&amp;key=9c0e4d166b60ffd3","TMD")</f>
        <v>TMD</v>
      </c>
      <c r="J686" t="s">
        <v>25</v>
      </c>
      <c r="K686" s="1" t="s">
        <v>25</v>
      </c>
      <c r="L686" s="1" t="s">
        <v>25</v>
      </c>
      <c r="M686" s="1" t="s">
        <v>25</v>
      </c>
      <c r="N686" s="1" t="s">
        <v>26</v>
      </c>
      <c r="O686" s="1" t="s">
        <v>26</v>
      </c>
      <c r="P686" s="1" t="s">
        <v>27</v>
      </c>
      <c r="Q686" s="1" t="s">
        <v>27</v>
      </c>
    </row>
    <row r="687" spans="1:17" ht="16.5" customHeight="1" x14ac:dyDescent="0.25">
      <c r="A687" s="1" t="s">
        <v>52</v>
      </c>
      <c r="B687" s="1" t="s">
        <v>1405</v>
      </c>
      <c r="C687" s="1" t="s">
        <v>1406</v>
      </c>
      <c r="D687" s="44"/>
      <c r="E687" s="1" t="s">
        <v>40</v>
      </c>
      <c r="F687" s="1" t="s">
        <v>24</v>
      </c>
      <c r="G687" s="1" t="s">
        <v>24</v>
      </c>
      <c r="H687" s="26">
        <v>100</v>
      </c>
      <c r="I687" s="27" t="str">
        <f>HYPERLINK("https://doc.morningstar.com/Document/0c072b1569567fb5d9b7536e1f01b991.msdoc?clientid=fnz&amp;key=9c0e4d166b60ffd3","TMD")</f>
        <v>TMD</v>
      </c>
      <c r="J687" t="s">
        <v>25</v>
      </c>
      <c r="K687" s="1" t="s">
        <v>25</v>
      </c>
      <c r="L687" s="1" t="s">
        <v>25</v>
      </c>
      <c r="M687" s="1" t="s">
        <v>25</v>
      </c>
      <c r="N687" s="1" t="s">
        <v>26</v>
      </c>
      <c r="O687" s="1" t="s">
        <v>27</v>
      </c>
      <c r="P687" s="1" t="s">
        <v>27</v>
      </c>
      <c r="Q687" s="1" t="s">
        <v>26</v>
      </c>
    </row>
    <row r="688" spans="1:17" ht="16.5" customHeight="1" x14ac:dyDescent="0.25">
      <c r="A688" s="1" t="s">
        <v>31</v>
      </c>
      <c r="B688" s="1" t="s">
        <v>1407</v>
      </c>
      <c r="C688" s="1" t="s">
        <v>1408</v>
      </c>
      <c r="D688" s="44"/>
      <c r="E688" s="1" t="s">
        <v>40</v>
      </c>
      <c r="F688" s="1" t="s">
        <v>24</v>
      </c>
      <c r="G688" s="1" t="s">
        <v>24</v>
      </c>
      <c r="H688" s="26">
        <v>100</v>
      </c>
      <c r="I688" s="27" t="str">
        <f>HYPERLINK("https://doc.morningstar.com/Document/458caadc35d0b9a2c49d3e3bba9b8a6d.msdoc?clientid=fnz&amp;key=9c0e4d166b60ffd3","TMD")</f>
        <v>TMD</v>
      </c>
      <c r="J688" t="s">
        <v>25</v>
      </c>
      <c r="K688" s="1" t="s">
        <v>25</v>
      </c>
      <c r="L688" s="1" t="s">
        <v>25</v>
      </c>
      <c r="M688" s="1" t="s">
        <v>25</v>
      </c>
      <c r="N688" s="1" t="s">
        <v>26</v>
      </c>
      <c r="O688" s="1" t="s">
        <v>26</v>
      </c>
      <c r="P688" s="1" t="s">
        <v>27</v>
      </c>
      <c r="Q688" s="1" t="s">
        <v>27</v>
      </c>
    </row>
    <row r="689" spans="1:17" ht="16.5" customHeight="1" x14ac:dyDescent="0.25">
      <c r="A689" s="1" t="s">
        <v>58</v>
      </c>
      <c r="B689" s="1" t="s">
        <v>1409</v>
      </c>
      <c r="C689" s="1" t="s">
        <v>1410</v>
      </c>
      <c r="D689" s="44"/>
      <c r="E689" s="1" t="s">
        <v>40</v>
      </c>
      <c r="F689" s="1" t="s">
        <v>24</v>
      </c>
      <c r="G689" s="1" t="s">
        <v>24</v>
      </c>
      <c r="H689" s="26">
        <v>100</v>
      </c>
      <c r="I689" s="27" t="str">
        <f>HYPERLINK("https://doc.morningstar.com/Document/70e848b61b854fdfc287bd2402a619d9.msdoc?clientid=fnz&amp;key=9c0e4d166b60ffd3","TMD")</f>
        <v>TMD</v>
      </c>
      <c r="J689" t="s">
        <v>25</v>
      </c>
      <c r="K689" s="1" t="s">
        <v>25</v>
      </c>
      <c r="L689" s="1" t="s">
        <v>25</v>
      </c>
      <c r="M689" s="1" t="s">
        <v>25</v>
      </c>
      <c r="N689" s="1" t="s">
        <v>26</v>
      </c>
      <c r="O689" s="1" t="s">
        <v>26</v>
      </c>
      <c r="P689" s="1" t="s">
        <v>27</v>
      </c>
      <c r="Q689" s="1" t="s">
        <v>27</v>
      </c>
    </row>
    <row r="690" spans="1:17" ht="16.5" customHeight="1" x14ac:dyDescent="0.25">
      <c r="A690" s="1" t="s">
        <v>71</v>
      </c>
      <c r="B690" s="1" t="s">
        <v>1411</v>
      </c>
      <c r="C690" s="1" t="s">
        <v>1412</v>
      </c>
      <c r="D690" s="44"/>
      <c r="E690" s="1" t="s">
        <v>40</v>
      </c>
      <c r="F690" s="1" t="s">
        <v>24</v>
      </c>
      <c r="G690" s="1" t="s">
        <v>24</v>
      </c>
      <c r="H690" s="26">
        <v>100</v>
      </c>
      <c r="I690" s="27" t="str">
        <f>HYPERLINK("https://doc.morningstar.com/Document/a5b60abd14a656e2911e29eb9ec42b36.msdoc?clientid=fnz&amp;key=9c0e4d166b60ffd3","TMD")</f>
        <v>TMD</v>
      </c>
      <c r="J690" t="s">
        <v>25</v>
      </c>
      <c r="K690" s="1" t="s">
        <v>25</v>
      </c>
      <c r="L690" s="1" t="s">
        <v>25</v>
      </c>
      <c r="M690" s="1" t="s">
        <v>25</v>
      </c>
      <c r="N690" s="1" t="s">
        <v>26</v>
      </c>
      <c r="O690" s="1" t="s">
        <v>26</v>
      </c>
      <c r="P690" s="1" t="s">
        <v>27</v>
      </c>
      <c r="Q690" s="1" t="s">
        <v>27</v>
      </c>
    </row>
    <row r="691" spans="1:17" ht="16.5" customHeight="1" x14ac:dyDescent="0.25">
      <c r="A691" s="1" t="s">
        <v>109</v>
      </c>
      <c r="B691" s="1" t="s">
        <v>1413</v>
      </c>
      <c r="C691" s="1" t="s">
        <v>1414</v>
      </c>
      <c r="D691" s="44"/>
      <c r="E691" s="1" t="s">
        <v>672</v>
      </c>
      <c r="F691" s="1" t="s">
        <v>24</v>
      </c>
      <c r="G691" s="1" t="s">
        <v>24</v>
      </c>
      <c r="H691" s="26">
        <v>100</v>
      </c>
      <c r="I691" s="27" t="str">
        <f>HYPERLINK("https://doc.morningstar.com/Document/3b2f47f01d3c1b3dcc50460852724c2e.msdoc?clientid=fnz&amp;key=9c0e4d166b60ffd3","TMD")</f>
        <v>TMD</v>
      </c>
      <c r="J691" t="s">
        <v>25</v>
      </c>
      <c r="K691" s="1" t="s">
        <v>25</v>
      </c>
      <c r="L691" s="1" t="s">
        <v>25</v>
      </c>
      <c r="M691" s="1" t="s">
        <v>25</v>
      </c>
      <c r="N691" s="1" t="s">
        <v>26</v>
      </c>
      <c r="O691" s="1" t="s">
        <v>26</v>
      </c>
      <c r="P691" s="1" t="s">
        <v>27</v>
      </c>
      <c r="Q691" s="1" t="s">
        <v>27</v>
      </c>
    </row>
    <row r="692" spans="1:17" ht="16.5" customHeight="1" x14ac:dyDescent="0.25">
      <c r="A692" s="1" t="s">
        <v>76</v>
      </c>
      <c r="B692" s="1" t="s">
        <v>1415</v>
      </c>
      <c r="C692" s="1" t="s">
        <v>1416</v>
      </c>
      <c r="D692" s="44"/>
      <c r="E692" s="1" t="s">
        <v>672</v>
      </c>
      <c r="F692" s="1" t="s">
        <v>24</v>
      </c>
      <c r="G692" s="1" t="s">
        <v>24</v>
      </c>
      <c r="H692" s="26">
        <v>100</v>
      </c>
      <c r="I692" s="27" t="str">
        <f>HYPERLINK("https://doc.morningstar.com/Document/9abbaae2dd25fbbb272c66c1b4f332b8.msdoc?clientid=fnz&amp;key=9c0e4d166b60ffd3","TMD")</f>
        <v>TMD</v>
      </c>
      <c r="J692" t="s">
        <v>25</v>
      </c>
      <c r="K692" s="1" t="s">
        <v>25</v>
      </c>
      <c r="L692" s="1" t="s">
        <v>25</v>
      </c>
      <c r="M692" s="1" t="s">
        <v>25</v>
      </c>
      <c r="N692" s="1" t="s">
        <v>26</v>
      </c>
      <c r="O692" s="1" t="s">
        <v>27</v>
      </c>
      <c r="P692" s="1" t="s">
        <v>27</v>
      </c>
      <c r="Q692" s="1" t="s">
        <v>27</v>
      </c>
    </row>
    <row r="693" spans="1:17" ht="16.5" customHeight="1" x14ac:dyDescent="0.25">
      <c r="A693" s="1" t="s">
        <v>65</v>
      </c>
      <c r="B693" s="1" t="s">
        <v>1417</v>
      </c>
      <c r="C693" s="1" t="s">
        <v>1418</v>
      </c>
      <c r="D693" s="44"/>
      <c r="E693" s="1" t="s">
        <v>672</v>
      </c>
      <c r="F693" s="1" t="s">
        <v>24</v>
      </c>
      <c r="G693" s="1" t="s">
        <v>24</v>
      </c>
      <c r="H693" s="26">
        <v>100</v>
      </c>
      <c r="I693" s="27" t="str">
        <f>HYPERLINK("https://doc.morningstar.com/Document/a5b60abd14a656e209e15b926d30bfda.msdoc?clientid=fnz&amp;key=9c0e4d166b60ffd3","TMD")</f>
        <v>TMD</v>
      </c>
      <c r="J693" t="s">
        <v>25</v>
      </c>
      <c r="K693" s="1" t="s">
        <v>25</v>
      </c>
      <c r="L693" s="1" t="s">
        <v>25</v>
      </c>
      <c r="M693" s="1" t="s">
        <v>25</v>
      </c>
      <c r="N693" s="1" t="s">
        <v>26</v>
      </c>
      <c r="O693" s="1" t="s">
        <v>27</v>
      </c>
      <c r="P693" s="1" t="s">
        <v>27</v>
      </c>
      <c r="Q693" s="1" t="s">
        <v>27</v>
      </c>
    </row>
    <row r="694" spans="1:17" ht="16.5" customHeight="1" x14ac:dyDescent="0.25">
      <c r="A694" s="1" t="s">
        <v>71</v>
      </c>
      <c r="B694" s="1" t="s">
        <v>1419</v>
      </c>
      <c r="C694" s="1" t="s">
        <v>1420</v>
      </c>
      <c r="D694" s="44"/>
      <c r="E694" s="1" t="s">
        <v>672</v>
      </c>
      <c r="F694" s="1" t="s">
        <v>24</v>
      </c>
      <c r="G694" s="1" t="s">
        <v>24</v>
      </c>
      <c r="H694" s="26">
        <v>100</v>
      </c>
      <c r="I694" s="27" t="str">
        <f>HYPERLINK("https://doc.morningstar.com/Document/9abbaae2dd25fbbb44d19b127737f74e.msdoc?clientid=fnz&amp;key=9c0e4d166b60ffd3","TMD")</f>
        <v>TMD</v>
      </c>
      <c r="J694" t="s">
        <v>25</v>
      </c>
      <c r="K694" s="1" t="s">
        <v>25</v>
      </c>
      <c r="L694" s="1" t="s">
        <v>25</v>
      </c>
      <c r="M694" s="1" t="s">
        <v>25</v>
      </c>
      <c r="N694" s="1" t="s">
        <v>26</v>
      </c>
      <c r="O694" s="1" t="s">
        <v>26</v>
      </c>
      <c r="P694" s="1" t="s">
        <v>27</v>
      </c>
      <c r="Q694" s="1" t="s">
        <v>27</v>
      </c>
    </row>
    <row r="695" spans="1:17" ht="16.5" customHeight="1" x14ac:dyDescent="0.25">
      <c r="A695" s="1" t="s">
        <v>281</v>
      </c>
      <c r="B695" s="1" t="s">
        <v>1421</v>
      </c>
      <c r="C695" s="1" t="s">
        <v>1422</v>
      </c>
      <c r="D695" s="44"/>
      <c r="E695" s="1" t="s">
        <v>40</v>
      </c>
      <c r="F695" s="1" t="s">
        <v>24</v>
      </c>
      <c r="G695" s="1" t="s">
        <v>24</v>
      </c>
      <c r="H695" s="26">
        <v>100</v>
      </c>
      <c r="I695" s="27" t="str">
        <f>HYPERLINK("https://doc.morningstar.com/Document/34483d83377b7788583fe9d6718daa56.msdoc?clientid=fnz&amp;key=9c0e4d166b60ffd3","TMD")</f>
        <v>TMD</v>
      </c>
      <c r="J695" t="s">
        <v>25</v>
      </c>
      <c r="K695" s="1" t="s">
        <v>25</v>
      </c>
      <c r="L695" s="1" t="s">
        <v>25</v>
      </c>
      <c r="M695" s="1" t="s">
        <v>25</v>
      </c>
      <c r="N695" s="1" t="s">
        <v>27</v>
      </c>
      <c r="O695" s="1" t="s">
        <v>27</v>
      </c>
      <c r="P695" s="1" t="s">
        <v>26</v>
      </c>
      <c r="Q695" s="1" t="s">
        <v>26</v>
      </c>
    </row>
    <row r="696" spans="1:17" ht="16.5" customHeight="1" x14ac:dyDescent="0.25">
      <c r="A696" s="1" t="s">
        <v>58</v>
      </c>
      <c r="B696" s="1" t="s">
        <v>1423</v>
      </c>
      <c r="C696" s="1" t="s">
        <v>1424</v>
      </c>
      <c r="D696" s="44"/>
      <c r="E696" s="1" t="s">
        <v>40</v>
      </c>
      <c r="F696" s="1" t="s">
        <v>24</v>
      </c>
      <c r="G696" s="1" t="s">
        <v>24</v>
      </c>
      <c r="H696" s="26">
        <v>100</v>
      </c>
      <c r="I696" s="27" t="str">
        <f>HYPERLINK("https://doc.morningstar.com/Document/89c6cb661ad185146c134b136cc2b8db.msdoc?clientid=fnz&amp;key=9c0e4d166b60ffd3","TMD")</f>
        <v>TMD</v>
      </c>
      <c r="J696" t="s">
        <v>62</v>
      </c>
      <c r="K696" s="1" t="s">
        <v>25</v>
      </c>
      <c r="L696" s="1" t="s">
        <v>25</v>
      </c>
      <c r="M696" s="1" t="s">
        <v>25</v>
      </c>
      <c r="N696" s="1" t="s">
        <v>26</v>
      </c>
      <c r="O696" s="1" t="s">
        <v>26</v>
      </c>
      <c r="P696" s="1" t="s">
        <v>27</v>
      </c>
      <c r="Q696" s="1" t="s">
        <v>27</v>
      </c>
    </row>
    <row r="697" spans="1:17" ht="16.5" customHeight="1" x14ac:dyDescent="0.25">
      <c r="A697" s="1" t="s">
        <v>555</v>
      </c>
      <c r="B697" s="1" t="s">
        <v>1425</v>
      </c>
      <c r="C697" s="1" t="s">
        <v>1426</v>
      </c>
      <c r="D697" s="44"/>
      <c r="E697" s="1" t="s">
        <v>40</v>
      </c>
      <c r="F697" s="1" t="s">
        <v>24</v>
      </c>
      <c r="G697" s="1" t="s">
        <v>24</v>
      </c>
      <c r="H697" s="26">
        <v>100</v>
      </c>
      <c r="I697" s="27" t="str">
        <f>HYPERLINK("https://doc.morningstar.com/Document/f31f3540502e99b7ef05b9b15f3455ab.msdoc?clientid=fnz&amp;key=9c0e4d166b60ffd3","TMD")</f>
        <v>TMD</v>
      </c>
      <c r="J697" t="s">
        <v>25</v>
      </c>
      <c r="K697" s="1" t="s">
        <v>25</v>
      </c>
      <c r="L697" s="1" t="s">
        <v>25</v>
      </c>
      <c r="M697" s="1" t="s">
        <v>25</v>
      </c>
      <c r="N697" s="1" t="s">
        <v>26</v>
      </c>
      <c r="O697" s="1" t="s">
        <v>27</v>
      </c>
      <c r="P697" s="1" t="s">
        <v>27</v>
      </c>
      <c r="Q697" s="1" t="s">
        <v>26</v>
      </c>
    </row>
    <row r="698" spans="1:17" ht="16.5" customHeight="1" x14ac:dyDescent="0.25">
      <c r="A698" s="1" t="s">
        <v>76</v>
      </c>
      <c r="B698" s="1" t="s">
        <v>1427</v>
      </c>
      <c r="C698" s="1" t="s">
        <v>1428</v>
      </c>
      <c r="D698" s="44"/>
      <c r="E698" s="1" t="s">
        <v>40</v>
      </c>
      <c r="F698" s="1" t="s">
        <v>24</v>
      </c>
      <c r="G698" s="1" t="s">
        <v>24</v>
      </c>
      <c r="H698" s="26">
        <v>100</v>
      </c>
      <c r="I698" s="27" t="str">
        <f>HYPERLINK("https://doc.morningstar.com/Document/240ac911f32e872df97099feff660237.msdoc?clientid=fnz&amp;key=9c0e4d166b60ffd3","TMD")</f>
        <v>TMD</v>
      </c>
      <c r="J698" t="s">
        <v>25</v>
      </c>
      <c r="K698" s="1" t="s">
        <v>25</v>
      </c>
      <c r="L698" s="1" t="s">
        <v>25</v>
      </c>
      <c r="M698" s="1" t="s">
        <v>25</v>
      </c>
      <c r="N698" s="1" t="s">
        <v>26</v>
      </c>
      <c r="O698" s="1" t="s">
        <v>27</v>
      </c>
      <c r="P698" s="1" t="s">
        <v>27</v>
      </c>
      <c r="Q698" s="1" t="s">
        <v>27</v>
      </c>
    </row>
    <row r="699" spans="1:17" ht="16.5" customHeight="1" x14ac:dyDescent="0.25">
      <c r="A699" s="1" t="s">
        <v>109</v>
      </c>
      <c r="B699" s="1" t="s">
        <v>1429</v>
      </c>
      <c r="C699" s="1" t="s">
        <v>1430</v>
      </c>
      <c r="D699" s="44"/>
      <c r="E699" s="1" t="s">
        <v>40</v>
      </c>
      <c r="F699" s="1" t="s">
        <v>24</v>
      </c>
      <c r="G699" s="1" t="s">
        <v>24</v>
      </c>
      <c r="H699" s="26">
        <v>100</v>
      </c>
      <c r="I699" s="27" t="str">
        <f>HYPERLINK("https://doc.morningstar.com/Document/32b777420e46426a3c87833abf807f3a.msdoc?clientid=fnz&amp;key=9c0e4d166b60ffd3","TMD")</f>
        <v>TMD</v>
      </c>
      <c r="J699" t="s">
        <v>25</v>
      </c>
      <c r="K699" s="1" t="s">
        <v>25</v>
      </c>
      <c r="L699" s="1" t="s">
        <v>25</v>
      </c>
      <c r="M699" s="1" t="s">
        <v>25</v>
      </c>
      <c r="N699" s="1" t="s">
        <v>26</v>
      </c>
      <c r="O699" s="1" t="s">
        <v>26</v>
      </c>
      <c r="P699" s="1" t="s">
        <v>27</v>
      </c>
      <c r="Q699" s="1" t="s">
        <v>27</v>
      </c>
    </row>
    <row r="700" spans="1:17" ht="16.5" customHeight="1" x14ac:dyDescent="0.25">
      <c r="A700" s="1" t="s">
        <v>109</v>
      </c>
      <c r="B700" s="1" t="s">
        <v>1431</v>
      </c>
      <c r="C700" s="1" t="s">
        <v>1432</v>
      </c>
      <c r="D700" s="44"/>
      <c r="E700" s="1" t="s">
        <v>40</v>
      </c>
      <c r="F700" s="1" t="s">
        <v>24</v>
      </c>
      <c r="G700" s="1" t="s">
        <v>24</v>
      </c>
      <c r="H700" s="26">
        <v>100</v>
      </c>
      <c r="I700" s="27" t="str">
        <f>HYPERLINK("https://doc.morningstar.com/Document/60093f77c5ea641f5b41b12d65e3f84b.msdoc?clientid=fnz&amp;key=9c0e4d166b60ffd3","TMD")</f>
        <v>TMD</v>
      </c>
      <c r="J700" t="s">
        <v>25</v>
      </c>
      <c r="K700" s="1" t="s">
        <v>25</v>
      </c>
      <c r="L700" s="1" t="s">
        <v>25</v>
      </c>
      <c r="M700" s="1" t="s">
        <v>25</v>
      </c>
      <c r="N700" s="1" t="s">
        <v>26</v>
      </c>
      <c r="O700" s="1" t="s">
        <v>26</v>
      </c>
      <c r="P700" s="1" t="s">
        <v>27</v>
      </c>
      <c r="Q700" s="1" t="s">
        <v>27</v>
      </c>
    </row>
    <row r="701" spans="1:17" ht="16.5" customHeight="1" x14ac:dyDescent="0.25">
      <c r="A701" s="1" t="s">
        <v>71</v>
      </c>
      <c r="B701" s="1" t="s">
        <v>1433</v>
      </c>
      <c r="C701" s="1" t="s">
        <v>1434</v>
      </c>
      <c r="D701" s="44"/>
      <c r="E701" s="1" t="s">
        <v>40</v>
      </c>
      <c r="F701" s="1" t="s">
        <v>24</v>
      </c>
      <c r="G701" s="1" t="s">
        <v>24</v>
      </c>
      <c r="H701" s="26">
        <v>100</v>
      </c>
      <c r="I701" s="27" t="str">
        <f>HYPERLINK("https://doc.morningstar.com/Document/f79b95981a55976638704fd8f561cd2b.msdoc?clientid=fnz&amp;key=9c0e4d166b60ffd3","TMD")</f>
        <v>TMD</v>
      </c>
      <c r="J701" t="s">
        <v>25</v>
      </c>
      <c r="K701" s="1" t="s">
        <v>25</v>
      </c>
      <c r="L701" s="1" t="s">
        <v>25</v>
      </c>
      <c r="M701" s="1" t="s">
        <v>25</v>
      </c>
      <c r="N701" s="1" t="s">
        <v>26</v>
      </c>
      <c r="O701" s="1" t="s">
        <v>26</v>
      </c>
      <c r="P701" s="1" t="s">
        <v>27</v>
      </c>
      <c r="Q701" s="1" t="s">
        <v>27</v>
      </c>
    </row>
    <row r="702" spans="1:17" ht="16.5" customHeight="1" x14ac:dyDescent="0.25">
      <c r="A702" s="1" t="s">
        <v>34</v>
      </c>
      <c r="B702" s="1" t="s">
        <v>1435</v>
      </c>
      <c r="C702" s="1" t="s">
        <v>1436</v>
      </c>
      <c r="D702" s="44"/>
      <c r="E702" s="1" t="s">
        <v>23</v>
      </c>
      <c r="F702" s="1" t="s">
        <v>24</v>
      </c>
      <c r="G702" s="1" t="s">
        <v>24</v>
      </c>
      <c r="H702" s="26">
        <v>30</v>
      </c>
      <c r="I702" s="27" t="str">
        <f>HYPERLINK("https://doc.morningstar.com/Document/69a46e635129c99d06de1619ab60c3de.msdoc?clientid=fnz&amp;key=9c0e4d166b60ffd3","TMD")</f>
        <v>TMD</v>
      </c>
      <c r="J702" t="s">
        <v>25</v>
      </c>
      <c r="K702" s="1" t="s">
        <v>25</v>
      </c>
      <c r="L702" s="1" t="s">
        <v>25</v>
      </c>
      <c r="M702" s="1" t="s">
        <v>25</v>
      </c>
      <c r="N702" s="1" t="s">
        <v>26</v>
      </c>
      <c r="O702" s="1" t="s">
        <v>26</v>
      </c>
      <c r="P702" s="1" t="s">
        <v>26</v>
      </c>
      <c r="Q702" s="1" t="s">
        <v>27</v>
      </c>
    </row>
    <row r="703" spans="1:17" ht="16.5" customHeight="1" x14ac:dyDescent="0.25">
      <c r="A703" s="1" t="s">
        <v>31</v>
      </c>
      <c r="B703" s="1" t="s">
        <v>1437</v>
      </c>
      <c r="C703" s="1" t="s">
        <v>1438</v>
      </c>
      <c r="D703" s="44"/>
      <c r="E703" s="1" t="s">
        <v>23</v>
      </c>
      <c r="F703" s="1" t="s">
        <v>24</v>
      </c>
      <c r="G703" s="1" t="s">
        <v>24</v>
      </c>
      <c r="H703" s="26">
        <v>100</v>
      </c>
      <c r="I703" s="27" t="str">
        <f>HYPERLINK("https://doc.morningstar.com/Document/69a46e635129c99d089b7167b4ad7f72.msdoc?clientid=fnz&amp;key=9c0e4d166b60ffd3","TMD")</f>
        <v>TMD</v>
      </c>
      <c r="J703" t="s">
        <v>25</v>
      </c>
      <c r="K703" s="1" t="s">
        <v>25</v>
      </c>
      <c r="L703" s="1" t="s">
        <v>25</v>
      </c>
      <c r="M703" s="1" t="s">
        <v>25</v>
      </c>
      <c r="N703" s="1" t="s">
        <v>26</v>
      </c>
      <c r="O703" s="1" t="s">
        <v>26</v>
      </c>
      <c r="P703" s="1" t="s">
        <v>27</v>
      </c>
      <c r="Q703" s="1" t="s">
        <v>27</v>
      </c>
    </row>
    <row r="704" spans="1:17" ht="16.5" customHeight="1" x14ac:dyDescent="0.25">
      <c r="A704" s="1" t="s">
        <v>37</v>
      </c>
      <c r="B704" s="1" t="s">
        <v>1439</v>
      </c>
      <c r="C704" s="1" t="s">
        <v>1440</v>
      </c>
      <c r="D704" s="44"/>
      <c r="E704" s="1" t="s">
        <v>40</v>
      </c>
      <c r="F704" s="1" t="s">
        <v>24</v>
      </c>
      <c r="G704" s="1" t="s">
        <v>24</v>
      </c>
      <c r="H704" s="26">
        <v>50</v>
      </c>
      <c r="I704" s="27" t="str">
        <f>HYPERLINK("https://doc.morningstar.com/Document/1b513e24a5c6a761d770be3e9a8edd00.msdoc?clientid=fnz&amp;key=9c0e4d166b60ffd3","TMD")</f>
        <v>TMD</v>
      </c>
      <c r="J704" t="s">
        <v>25</v>
      </c>
      <c r="K704" s="1" t="s">
        <v>25</v>
      </c>
      <c r="L704" s="1" t="s">
        <v>25</v>
      </c>
      <c r="M704" s="1" t="s">
        <v>25</v>
      </c>
      <c r="N704" s="1" t="s">
        <v>26</v>
      </c>
      <c r="O704" s="1" t="s">
        <v>26</v>
      </c>
      <c r="P704" s="1" t="s">
        <v>27</v>
      </c>
      <c r="Q704" s="1" t="s">
        <v>27</v>
      </c>
    </row>
    <row r="705" spans="1:17" ht="16.5" customHeight="1" x14ac:dyDescent="0.25">
      <c r="A705" s="1" t="s">
        <v>31</v>
      </c>
      <c r="B705" s="1" t="s">
        <v>1441</v>
      </c>
      <c r="C705" s="1" t="s">
        <v>1442</v>
      </c>
      <c r="D705" s="44"/>
      <c r="E705" s="1" t="s">
        <v>40</v>
      </c>
      <c r="F705" s="1" t="s">
        <v>24</v>
      </c>
      <c r="G705" s="1" t="s">
        <v>24</v>
      </c>
      <c r="H705" s="26">
        <v>100</v>
      </c>
      <c r="I705" s="27" t="str">
        <f>HYPERLINK("https://doc.morningstar.com/Document/c71c6fb2d32816d15beae818bdc12376.msdoc?clientid=fnz&amp;key=9c0e4d166b60ffd3","TMD")</f>
        <v>TMD</v>
      </c>
      <c r="J705" t="s">
        <v>25</v>
      </c>
      <c r="K705" s="1" t="s">
        <v>25</v>
      </c>
      <c r="L705" s="1" t="s">
        <v>25</v>
      </c>
      <c r="M705" s="1" t="s">
        <v>25</v>
      </c>
      <c r="N705" s="1" t="s">
        <v>26</v>
      </c>
      <c r="O705" s="1" t="s">
        <v>26</v>
      </c>
      <c r="P705" s="1" t="s">
        <v>27</v>
      </c>
      <c r="Q705" s="1" t="s">
        <v>27</v>
      </c>
    </row>
    <row r="706" spans="1:17" ht="16.5" customHeight="1" x14ac:dyDescent="0.25">
      <c r="A706" s="1" t="s">
        <v>58</v>
      </c>
      <c r="B706" s="1" t="s">
        <v>1443</v>
      </c>
      <c r="C706" s="1" t="s">
        <v>1444</v>
      </c>
      <c r="D706" s="44"/>
      <c r="E706" s="1" t="s">
        <v>61</v>
      </c>
      <c r="F706" s="1" t="s">
        <v>24</v>
      </c>
      <c r="G706" s="1" t="s">
        <v>24</v>
      </c>
      <c r="H706" s="26">
        <v>100</v>
      </c>
      <c r="I706" s="27" t="str">
        <f>HYPERLINK("https://doc.morningstar.com/Document/6c906b19e69c46c764e9feb06eea9855.msdoc?clientid=fnz&amp;key=9c0e4d166b60ffd3","TMD")</f>
        <v>TMD</v>
      </c>
      <c r="J706" t="s">
        <v>25</v>
      </c>
      <c r="K706" s="1" t="s">
        <v>25</v>
      </c>
      <c r="L706" s="1" t="s">
        <v>25</v>
      </c>
      <c r="M706" s="1" t="s">
        <v>25</v>
      </c>
      <c r="N706" s="1" t="s">
        <v>26</v>
      </c>
      <c r="O706" s="1" t="s">
        <v>26</v>
      </c>
      <c r="P706" s="1" t="s">
        <v>27</v>
      </c>
      <c r="Q706" s="1" t="s">
        <v>27</v>
      </c>
    </row>
    <row r="707" spans="1:17" ht="16.5" customHeight="1" x14ac:dyDescent="0.25">
      <c r="A707" s="1" t="s">
        <v>34</v>
      </c>
      <c r="B707" s="1" t="s">
        <v>1445</v>
      </c>
      <c r="C707" s="1" t="s">
        <v>1446</v>
      </c>
      <c r="D707" s="44"/>
      <c r="E707" s="1" t="s">
        <v>61</v>
      </c>
      <c r="F707" s="1" t="s">
        <v>24</v>
      </c>
      <c r="G707" s="1" t="s">
        <v>24</v>
      </c>
      <c r="H707" s="26">
        <v>30</v>
      </c>
      <c r="I707" s="27" t="str">
        <f>HYPERLINK("https://doc.morningstar.com/Document/69a46e635129c99d0ce9134ea65db3e8.msdoc?clientid=fnz&amp;key=9c0e4d166b60ffd3","TMD")</f>
        <v>TMD</v>
      </c>
      <c r="J707" t="s">
        <v>25</v>
      </c>
      <c r="K707" s="1" t="s">
        <v>25</v>
      </c>
      <c r="L707" s="1" t="s">
        <v>25</v>
      </c>
      <c r="M707" s="1" t="s">
        <v>25</v>
      </c>
      <c r="N707" s="1" t="s">
        <v>26</v>
      </c>
      <c r="O707" s="1" t="s">
        <v>26</v>
      </c>
      <c r="P707" s="1" t="s">
        <v>26</v>
      </c>
      <c r="Q707" s="1" t="s">
        <v>27</v>
      </c>
    </row>
    <row r="708" spans="1:17" ht="16.5" customHeight="1" x14ac:dyDescent="0.25">
      <c r="A708" s="1" t="s">
        <v>58</v>
      </c>
      <c r="B708" s="1" t="s">
        <v>1447</v>
      </c>
      <c r="C708" s="1" t="s">
        <v>1448</v>
      </c>
      <c r="D708" s="44"/>
      <c r="E708" s="1" t="s">
        <v>23</v>
      </c>
      <c r="F708" s="1" t="s">
        <v>24</v>
      </c>
      <c r="G708" s="1" t="s">
        <v>24</v>
      </c>
      <c r="H708" s="26">
        <v>100</v>
      </c>
      <c r="I708" s="27" t="str">
        <f>HYPERLINK("https://doc.morningstar.com/Document/2dd11489b54735798d0722e446496c41.msdoc?clientid=fnz&amp;key=9c0e4d166b60ffd3","TMD")</f>
        <v>TMD</v>
      </c>
      <c r="J708" t="s">
        <v>25</v>
      </c>
      <c r="K708" s="1" t="s">
        <v>25</v>
      </c>
      <c r="L708" s="1" t="s">
        <v>25</v>
      </c>
      <c r="M708" s="1" t="s">
        <v>25</v>
      </c>
      <c r="N708" s="1" t="s">
        <v>26</v>
      </c>
      <c r="O708" s="1" t="s">
        <v>26</v>
      </c>
      <c r="P708" s="1" t="s">
        <v>27</v>
      </c>
      <c r="Q708" s="1" t="s">
        <v>27</v>
      </c>
    </row>
    <row r="709" spans="1:17" ht="16.5" customHeight="1" x14ac:dyDescent="0.25">
      <c r="A709" s="1" t="s">
        <v>28</v>
      </c>
      <c r="B709" s="1" t="s">
        <v>1449</v>
      </c>
      <c r="C709" s="1" t="s">
        <v>1450</v>
      </c>
      <c r="D709" s="44"/>
      <c r="E709" s="1" t="s">
        <v>23</v>
      </c>
      <c r="F709" s="1" t="s">
        <v>24</v>
      </c>
      <c r="G709" s="1" t="s">
        <v>24</v>
      </c>
      <c r="H709" s="26">
        <v>30</v>
      </c>
      <c r="I709" s="27" t="str">
        <f>HYPERLINK("https://doc.morningstar.com/Document/95cd28434d499e8f0547cadba703d3a9.msdoc?clientid=fnz&amp;key=9c0e4d166b60ffd3","TMD")</f>
        <v>TMD</v>
      </c>
      <c r="J709" t="s">
        <v>25</v>
      </c>
      <c r="K709" s="1" t="s">
        <v>25</v>
      </c>
      <c r="L709" s="1" t="s">
        <v>25</v>
      </c>
      <c r="M709" s="1" t="s">
        <v>25</v>
      </c>
      <c r="N709" s="1" t="s">
        <v>26</v>
      </c>
      <c r="O709" s="1" t="s">
        <v>26</v>
      </c>
      <c r="P709" s="1" t="s">
        <v>27</v>
      </c>
      <c r="Q709" s="1" t="s">
        <v>27</v>
      </c>
    </row>
    <row r="710" spans="1:17" ht="16.5" customHeight="1" x14ac:dyDescent="0.25">
      <c r="A710" s="1" t="s">
        <v>37</v>
      </c>
      <c r="B710" s="1" t="s">
        <v>1451</v>
      </c>
      <c r="C710" s="1" t="s">
        <v>1452</v>
      </c>
      <c r="D710" s="44"/>
      <c r="E710" s="1" t="s">
        <v>40</v>
      </c>
      <c r="F710" s="1" t="s">
        <v>24</v>
      </c>
      <c r="G710" s="1" t="s">
        <v>24</v>
      </c>
      <c r="H710" s="26">
        <v>50</v>
      </c>
      <c r="I710" s="27" t="str">
        <f>HYPERLINK("https://doc.morningstar.com/Document/39e23a7451a16d05a27be4283df2cf3c.msdoc?clientid=fnz&amp;key=9c0e4d166b60ffd3","TMD")</f>
        <v>TMD</v>
      </c>
      <c r="J710" t="s">
        <v>25</v>
      </c>
      <c r="K710" s="1" t="s">
        <v>25</v>
      </c>
      <c r="L710" s="1" t="s">
        <v>25</v>
      </c>
      <c r="M710" s="1" t="s">
        <v>25</v>
      </c>
      <c r="N710" s="1" t="s">
        <v>26</v>
      </c>
      <c r="O710" s="1" t="s">
        <v>26</v>
      </c>
      <c r="P710" s="1" t="s">
        <v>27</v>
      </c>
      <c r="Q710" s="1" t="s">
        <v>27</v>
      </c>
    </row>
    <row r="711" spans="1:17" ht="16.5" customHeight="1" x14ac:dyDescent="0.25">
      <c r="A711" s="1" t="s">
        <v>31</v>
      </c>
      <c r="B711" s="1" t="s">
        <v>1453</v>
      </c>
      <c r="C711" s="1" t="s">
        <v>1454</v>
      </c>
      <c r="D711" s="44"/>
      <c r="E711" s="1" t="s">
        <v>40</v>
      </c>
      <c r="F711" s="1" t="s">
        <v>24</v>
      </c>
      <c r="G711" s="1" t="s">
        <v>24</v>
      </c>
      <c r="H711" s="26">
        <v>100</v>
      </c>
      <c r="I711" s="27" t="str">
        <f>HYPERLINK("https://doc.morningstar.com/Document/85a5910dc63b3d85e043e4f6cc9de6d3.msdoc?clientid=fnz&amp;key=9c0e4d166b60ffd3","TMD")</f>
        <v>TMD</v>
      </c>
      <c r="J711" t="s">
        <v>25</v>
      </c>
      <c r="K711" s="1" t="s">
        <v>25</v>
      </c>
      <c r="L711" s="1" t="s">
        <v>25</v>
      </c>
      <c r="M711" s="1" t="s">
        <v>25</v>
      </c>
      <c r="N711" s="1" t="s">
        <v>26</v>
      </c>
      <c r="O711" s="1" t="s">
        <v>26</v>
      </c>
      <c r="P711" s="1" t="s">
        <v>27</v>
      </c>
      <c r="Q711" s="1" t="s">
        <v>27</v>
      </c>
    </row>
    <row r="712" spans="1:17" ht="16.5" customHeight="1" x14ac:dyDescent="0.25">
      <c r="A712" s="1" t="s">
        <v>58</v>
      </c>
      <c r="B712" s="1" t="s">
        <v>1455</v>
      </c>
      <c r="C712" s="1" t="s">
        <v>1456</v>
      </c>
      <c r="D712" s="44"/>
      <c r="E712" s="1" t="s">
        <v>23</v>
      </c>
      <c r="F712" s="1" t="s">
        <v>24</v>
      </c>
      <c r="G712" s="1" t="s">
        <v>24</v>
      </c>
      <c r="H712" s="26">
        <v>100</v>
      </c>
      <c r="I712" s="27" t="str">
        <f>HYPERLINK("https://doc.morningstar.com/Document/6534c68d83a883f42d6f12f43c6483f8.msdoc?clientid=fnz&amp;key=9c0e4d166b60ffd3","TMD")</f>
        <v>TMD</v>
      </c>
      <c r="J712" t="s">
        <v>62</v>
      </c>
      <c r="K712" s="1" t="s">
        <v>25</v>
      </c>
      <c r="L712" s="1" t="s">
        <v>25</v>
      </c>
      <c r="M712" s="1" t="s">
        <v>25</v>
      </c>
      <c r="N712" s="1" t="s">
        <v>26</v>
      </c>
      <c r="O712" s="1" t="s">
        <v>26</v>
      </c>
      <c r="P712" s="1" t="s">
        <v>27</v>
      </c>
      <c r="Q712" s="1" t="s">
        <v>27</v>
      </c>
    </row>
    <row r="713" spans="1:17" ht="16.5" customHeight="1" x14ac:dyDescent="0.25">
      <c r="A713" s="1" t="s">
        <v>34</v>
      </c>
      <c r="B713" s="1" t="s">
        <v>1457</v>
      </c>
      <c r="C713" s="1" t="s">
        <v>1458</v>
      </c>
      <c r="D713" s="44"/>
      <c r="E713" s="1" t="s">
        <v>23</v>
      </c>
      <c r="F713" s="1" t="s">
        <v>24</v>
      </c>
      <c r="G713" s="1" t="s">
        <v>24</v>
      </c>
      <c r="H713" s="26">
        <v>30</v>
      </c>
      <c r="I713" s="27" t="str">
        <f>HYPERLINK("https://doc.morningstar.com/Document/e33d52e1a74e70f46f64e8c9e21a3c0f.msdoc?clientid=fnz&amp;key=9c0e4d166b60ffd3","TMD")</f>
        <v>TMD</v>
      </c>
      <c r="J713" t="s">
        <v>25</v>
      </c>
      <c r="K713" s="1" t="s">
        <v>25</v>
      </c>
      <c r="L713" s="1" t="s">
        <v>25</v>
      </c>
      <c r="M713" s="1" t="s">
        <v>25</v>
      </c>
      <c r="N713" s="1" t="s">
        <v>26</v>
      </c>
      <c r="O713" s="1" t="s">
        <v>26</v>
      </c>
      <c r="P713" s="1" t="s">
        <v>26</v>
      </c>
      <c r="Q713" s="1" t="s">
        <v>27</v>
      </c>
    </row>
    <row r="714" spans="1:17" ht="16.5" customHeight="1" x14ac:dyDescent="0.25">
      <c r="A714" s="1" t="s">
        <v>31</v>
      </c>
      <c r="B714" s="1" t="s">
        <v>1459</v>
      </c>
      <c r="C714" s="1" t="s">
        <v>1460</v>
      </c>
      <c r="D714" s="44"/>
      <c r="E714" s="1" t="s">
        <v>23</v>
      </c>
      <c r="F714" s="1" t="s">
        <v>24</v>
      </c>
      <c r="G714" s="1" t="s">
        <v>24</v>
      </c>
      <c r="H714" s="26">
        <v>100</v>
      </c>
      <c r="I714" s="27" t="str">
        <f>HYPERLINK("https://doc.morningstar.com/Document/a2a2f64dbc1fe0634e80181e13936c4c.msdoc?clientid=fnz&amp;key=9c0e4d166b60ffd3","TMD")</f>
        <v>TMD</v>
      </c>
      <c r="J714" t="s">
        <v>25</v>
      </c>
      <c r="K714" s="1" t="s">
        <v>25</v>
      </c>
      <c r="L714" s="1" t="s">
        <v>25</v>
      </c>
      <c r="M714" s="1" t="s">
        <v>25</v>
      </c>
      <c r="N714" s="1" t="s">
        <v>26</v>
      </c>
      <c r="O714" s="1" t="s">
        <v>26</v>
      </c>
      <c r="P714" s="1" t="s">
        <v>27</v>
      </c>
      <c r="Q714" s="1" t="s">
        <v>27</v>
      </c>
    </row>
    <row r="715" spans="1:17" ht="16.5" customHeight="1" x14ac:dyDescent="0.25">
      <c r="A715" s="1" t="s">
        <v>28</v>
      </c>
      <c r="B715" s="1" t="s">
        <v>1461</v>
      </c>
      <c r="C715" s="1" t="s">
        <v>1462</v>
      </c>
      <c r="D715" s="44"/>
      <c r="E715" s="1" t="s">
        <v>23</v>
      </c>
      <c r="F715" s="1" t="s">
        <v>24</v>
      </c>
      <c r="G715" s="1" t="s">
        <v>24</v>
      </c>
      <c r="H715" s="26">
        <v>30</v>
      </c>
      <c r="I715" s="27" t="str">
        <f>HYPERLINK("https://doc.morningstar.com/Document/e8b353eb8c2259b8627e96b57b019984.msdoc?clientid=fnz&amp;key=9c0e4d166b60ffd3","TMD")</f>
        <v>TMD</v>
      </c>
      <c r="J715" t="s">
        <v>25</v>
      </c>
      <c r="K715" s="1" t="s">
        <v>25</v>
      </c>
      <c r="L715" s="1" t="s">
        <v>25</v>
      </c>
      <c r="M715" s="1" t="s">
        <v>25</v>
      </c>
      <c r="N715" s="1" t="s">
        <v>26</v>
      </c>
      <c r="O715" s="1" t="s">
        <v>26</v>
      </c>
      <c r="P715" s="1" t="s">
        <v>26</v>
      </c>
      <c r="Q715" s="1" t="s">
        <v>27</v>
      </c>
    </row>
    <row r="716" spans="1:17" ht="16.5" customHeight="1" x14ac:dyDescent="0.25">
      <c r="A716" s="1" t="s">
        <v>58</v>
      </c>
      <c r="B716" s="1" t="s">
        <v>1463</v>
      </c>
      <c r="C716" s="1" t="s">
        <v>1464</v>
      </c>
      <c r="D716" s="44"/>
      <c r="E716" s="1" t="s">
        <v>23</v>
      </c>
      <c r="F716" s="1" t="s">
        <v>24</v>
      </c>
      <c r="G716" s="1" t="s">
        <v>24</v>
      </c>
      <c r="H716" s="26">
        <v>100</v>
      </c>
      <c r="I716" s="27" t="str">
        <f>HYPERLINK("https://doc.morningstar.com/Document/2dd11489b54735798d0722e446496c41.msdoc?clientid=fnz&amp;key=9c0e4d166b60ffd3","TMD")</f>
        <v>TMD</v>
      </c>
      <c r="J716" t="s">
        <v>62</v>
      </c>
      <c r="K716" s="1" t="s">
        <v>25</v>
      </c>
      <c r="L716" s="1" t="s">
        <v>25</v>
      </c>
      <c r="M716" s="1" t="s">
        <v>25</v>
      </c>
      <c r="N716" s="1" t="s">
        <v>26</v>
      </c>
      <c r="O716" s="1" t="s">
        <v>26</v>
      </c>
      <c r="P716" s="1" t="s">
        <v>27</v>
      </c>
      <c r="Q716" s="1" t="s">
        <v>27</v>
      </c>
    </row>
    <row r="717" spans="1:17" ht="16.5" customHeight="1" x14ac:dyDescent="0.25">
      <c r="A717" s="1" t="s">
        <v>141</v>
      </c>
      <c r="B717" s="1" t="s">
        <v>1465</v>
      </c>
      <c r="C717" s="1" t="s">
        <v>1466</v>
      </c>
      <c r="D717" s="44"/>
      <c r="E717" s="1" t="s">
        <v>23</v>
      </c>
      <c r="F717" s="1" t="s">
        <v>24</v>
      </c>
      <c r="G717" s="1" t="s">
        <v>24</v>
      </c>
      <c r="H717" s="26">
        <v>20</v>
      </c>
      <c r="I717" s="27" t="str">
        <f>HYPERLINK("https://doc.morningstar.com/Document/a2a2f64dbc1fe063f410404a5af68c7e.msdoc?clientid=fnz&amp;key=9c0e4d166b60ffd3","TMD")</f>
        <v>TMD</v>
      </c>
      <c r="J717" t="s">
        <v>25</v>
      </c>
      <c r="K717" s="1" t="s">
        <v>25</v>
      </c>
      <c r="L717" s="1" t="s">
        <v>25</v>
      </c>
      <c r="M717" s="1" t="s">
        <v>25</v>
      </c>
      <c r="N717" s="1" t="s">
        <v>26</v>
      </c>
      <c r="O717" s="1" t="s">
        <v>26</v>
      </c>
      <c r="P717" s="1" t="s">
        <v>27</v>
      </c>
      <c r="Q717" s="1" t="s">
        <v>27</v>
      </c>
    </row>
    <row r="718" spans="1:17" ht="16.5" customHeight="1" x14ac:dyDescent="0.25">
      <c r="A718" s="1" t="s">
        <v>28</v>
      </c>
      <c r="B718" s="1" t="s">
        <v>1467</v>
      </c>
      <c r="C718" s="1" t="s">
        <v>1468</v>
      </c>
      <c r="D718" s="44"/>
      <c r="E718" s="1" t="s">
        <v>61</v>
      </c>
      <c r="F718" s="1" t="s">
        <v>24</v>
      </c>
      <c r="G718" s="1" t="s">
        <v>24</v>
      </c>
      <c r="H718" s="26">
        <v>30</v>
      </c>
      <c r="I718" s="41" t="str">
        <f>HYPERLINK("https://doc.morningstar.com/Document/6dc8248b9fc3facc1655040eac61590a.msdoc?clientid=fnz&amp;key=9c0e4d166b60ffd3","TMD")</f>
        <v>TMD</v>
      </c>
      <c r="J718" t="s">
        <v>25</v>
      </c>
      <c r="K718" s="1" t="s">
        <v>25</v>
      </c>
      <c r="L718" s="1" t="s">
        <v>25</v>
      </c>
      <c r="M718" s="1" t="s">
        <v>25</v>
      </c>
      <c r="N718" s="1" t="s">
        <v>26</v>
      </c>
      <c r="O718" s="1" t="s">
        <v>26</v>
      </c>
      <c r="P718" s="1" t="s">
        <v>27</v>
      </c>
      <c r="Q718" s="1" t="s">
        <v>27</v>
      </c>
    </row>
    <row r="719" spans="1:17" ht="16.5" customHeight="1" x14ac:dyDescent="0.25">
      <c r="A719" s="1" t="s">
        <v>28</v>
      </c>
      <c r="B719" s="1" t="s">
        <v>1469</v>
      </c>
      <c r="C719" s="1" t="s">
        <v>1470</v>
      </c>
      <c r="D719" s="44"/>
      <c r="E719" s="1" t="s">
        <v>61</v>
      </c>
      <c r="F719" s="1" t="s">
        <v>24</v>
      </c>
      <c r="G719" s="1" t="s">
        <v>24</v>
      </c>
      <c r="H719" s="26">
        <v>30</v>
      </c>
      <c r="I719" s="27" t="str">
        <f>HYPERLINK("https://doc.morningstar.com/Document/69a46e635129c99d0a850c45b58e6568.msdoc?clientid=fnz&amp;key=9c0e4d166b60ffd3","TMD")</f>
        <v>TMD</v>
      </c>
      <c r="J719" t="s">
        <v>25</v>
      </c>
      <c r="K719" s="1" t="s">
        <v>25</v>
      </c>
      <c r="L719" s="1" t="s">
        <v>25</v>
      </c>
      <c r="M719" s="1" t="s">
        <v>25</v>
      </c>
      <c r="N719" s="1" t="s">
        <v>26</v>
      </c>
      <c r="O719" s="1" t="s">
        <v>26</v>
      </c>
      <c r="P719" s="1" t="s">
        <v>26</v>
      </c>
      <c r="Q719" s="1" t="s">
        <v>27</v>
      </c>
    </row>
    <row r="720" spans="1:17" ht="16.5" customHeight="1" x14ac:dyDescent="0.25">
      <c r="A720" s="1" t="s">
        <v>58</v>
      </c>
      <c r="B720" s="1" t="s">
        <v>1471</v>
      </c>
      <c r="C720" s="1" t="s">
        <v>1472</v>
      </c>
      <c r="D720" s="44"/>
      <c r="E720" s="1" t="s">
        <v>40</v>
      </c>
      <c r="F720" s="1" t="s">
        <v>24</v>
      </c>
      <c r="G720" s="1" t="s">
        <v>24</v>
      </c>
      <c r="H720" s="26">
        <v>100</v>
      </c>
      <c r="I720" s="27" t="str">
        <f>HYPERLINK("https://doc.morningstar.com/Document/718b009565c109dca7edcdd0b9414bf3.msdoc?clientid=fnz&amp;key=9c0e4d166b60ffd3","TMD")</f>
        <v>TMD</v>
      </c>
      <c r="J720" t="s">
        <v>25</v>
      </c>
      <c r="K720" s="1" t="s">
        <v>25</v>
      </c>
      <c r="L720" s="1" t="s">
        <v>25</v>
      </c>
      <c r="M720" s="1" t="s">
        <v>25</v>
      </c>
      <c r="N720" s="1" t="s">
        <v>26</v>
      </c>
      <c r="O720" s="1" t="s">
        <v>26</v>
      </c>
      <c r="P720" s="1" t="s">
        <v>26</v>
      </c>
      <c r="Q720" s="1" t="s">
        <v>27</v>
      </c>
    </row>
    <row r="721" spans="1:17" ht="16.5" customHeight="1" x14ac:dyDescent="0.25">
      <c r="A721" s="1" t="s">
        <v>58</v>
      </c>
      <c r="B721" s="1" t="s">
        <v>1473</v>
      </c>
      <c r="C721" s="1" t="s">
        <v>1474</v>
      </c>
      <c r="D721" s="44"/>
      <c r="E721" s="1" t="s">
        <v>23</v>
      </c>
      <c r="F721" s="1" t="s">
        <v>24</v>
      </c>
      <c r="G721" s="1" t="s">
        <v>24</v>
      </c>
      <c r="H721" s="26">
        <v>100</v>
      </c>
      <c r="I721" s="27" t="str">
        <f>HYPERLINK("https://doc.morningstar.com/Document/6534c68d83a883f42d6f12f43c6483f8.msdoc?clientid=fnz&amp;key=9c0e4d166b60ffd3","TMD")</f>
        <v>TMD</v>
      </c>
      <c r="J721" t="s">
        <v>25</v>
      </c>
      <c r="K721" s="1" t="s">
        <v>25</v>
      </c>
      <c r="L721" s="1" t="s">
        <v>25</v>
      </c>
      <c r="M721" s="1" t="s">
        <v>25</v>
      </c>
      <c r="N721" s="1" t="s">
        <v>26</v>
      </c>
      <c r="O721" s="1" t="s">
        <v>26</v>
      </c>
      <c r="P721" s="1" t="s">
        <v>27</v>
      </c>
      <c r="Q721" s="1" t="s">
        <v>27</v>
      </c>
    </row>
    <row r="722" spans="1:17" ht="16.5" customHeight="1" x14ac:dyDescent="0.25">
      <c r="A722" s="1" t="s">
        <v>34</v>
      </c>
      <c r="B722" s="1" t="s">
        <v>1475</v>
      </c>
      <c r="C722" s="1" t="s">
        <v>1476</v>
      </c>
      <c r="D722" s="44"/>
      <c r="E722" s="1" t="s">
        <v>23</v>
      </c>
      <c r="F722" s="1" t="s">
        <v>24</v>
      </c>
      <c r="G722" s="1" t="s">
        <v>24</v>
      </c>
      <c r="H722" s="26">
        <v>30</v>
      </c>
      <c r="I722" s="27" t="str">
        <f>HYPERLINK("https://doc.morningstar.com/Document/9e5674ecddab5bd451245e6d8ebf0ec6.msdoc?clientid=fnz&amp;key=9c0e4d166b60ffd3","TMD")</f>
        <v>TMD</v>
      </c>
      <c r="J722" t="s">
        <v>25</v>
      </c>
      <c r="K722" s="1" t="s">
        <v>25</v>
      </c>
      <c r="L722" s="1" t="s">
        <v>25</v>
      </c>
      <c r="M722" s="1" t="s">
        <v>25</v>
      </c>
      <c r="N722" s="1" t="s">
        <v>26</v>
      </c>
      <c r="O722" s="1" t="s">
        <v>26</v>
      </c>
      <c r="P722" s="1" t="s">
        <v>26</v>
      </c>
      <c r="Q722" s="1" t="s">
        <v>27</v>
      </c>
    </row>
    <row r="723" spans="1:17" ht="16.5" customHeight="1" x14ac:dyDescent="0.25">
      <c r="A723" s="1" t="s">
        <v>58</v>
      </c>
      <c r="B723" s="1" t="s">
        <v>1477</v>
      </c>
      <c r="C723" s="1" t="s">
        <v>1478</v>
      </c>
      <c r="D723" s="44"/>
      <c r="E723" s="1" t="s">
        <v>23</v>
      </c>
      <c r="F723" s="1" t="s">
        <v>24</v>
      </c>
      <c r="G723" s="1" t="s">
        <v>24</v>
      </c>
      <c r="H723" s="26">
        <v>100</v>
      </c>
      <c r="I723" s="27" t="str">
        <f>HYPERLINK("https://doc.morningstar.com/Document/2dd11489b54735798d0722e446496c41.msdoc?clientid=fnz&amp;key=9c0e4d166b60ffd3","TMD")</f>
        <v>TMD</v>
      </c>
      <c r="J723" t="s">
        <v>25</v>
      </c>
      <c r="K723" s="1" t="s">
        <v>25</v>
      </c>
      <c r="L723" s="1" t="s">
        <v>25</v>
      </c>
      <c r="M723" s="1" t="s">
        <v>25</v>
      </c>
      <c r="N723" s="1" t="s">
        <v>26</v>
      </c>
      <c r="O723" s="1" t="s">
        <v>26</v>
      </c>
      <c r="P723" s="1" t="s">
        <v>27</v>
      </c>
      <c r="Q723" s="1" t="s">
        <v>27</v>
      </c>
    </row>
    <row r="724" spans="1:17" ht="16.5" customHeight="1" x14ac:dyDescent="0.25">
      <c r="A724" s="1" t="s">
        <v>281</v>
      </c>
      <c r="B724" s="1" t="s">
        <v>1479</v>
      </c>
      <c r="C724" s="1" t="s">
        <v>1480</v>
      </c>
      <c r="D724" s="44"/>
      <c r="E724" s="1" t="s">
        <v>40</v>
      </c>
      <c r="F724" s="1" t="s">
        <v>24</v>
      </c>
      <c r="G724" s="1" t="s">
        <v>24</v>
      </c>
      <c r="H724" s="26">
        <v>100</v>
      </c>
      <c r="I724" s="27" t="str">
        <f>HYPERLINK("https://doc.morningstar.com/Document/7e91d720dc27a22b8264ddc1081ed57b.msdoc?clientid=fnz&amp;key=9c0e4d166b60ffd3","TMD")</f>
        <v>TMD</v>
      </c>
      <c r="J724" t="s">
        <v>25</v>
      </c>
      <c r="K724" s="1" t="s">
        <v>26</v>
      </c>
      <c r="L724" s="1" t="s">
        <v>27</v>
      </c>
      <c r="M724" s="1" t="s">
        <v>27</v>
      </c>
      <c r="N724" s="1" t="s">
        <v>216</v>
      </c>
      <c r="O724" s="1" t="s">
        <v>27</v>
      </c>
      <c r="P724" s="1" t="s">
        <v>27</v>
      </c>
      <c r="Q724" s="1" t="s">
        <v>27</v>
      </c>
    </row>
    <row r="725" spans="1:17" ht="16.5" customHeight="1" x14ac:dyDescent="0.25">
      <c r="A725" s="1" t="s">
        <v>52</v>
      </c>
      <c r="B725" s="1" t="s">
        <v>1481</v>
      </c>
      <c r="C725" s="1" t="s">
        <v>1482</v>
      </c>
      <c r="D725" s="44"/>
      <c r="E725" s="1" t="s">
        <v>45</v>
      </c>
      <c r="F725" s="1" t="s">
        <v>24</v>
      </c>
      <c r="G725" s="1" t="s">
        <v>24</v>
      </c>
      <c r="H725" s="26">
        <v>100</v>
      </c>
      <c r="I725" s="27" t="str">
        <f>HYPERLINK("https://doc.morningstar.com/Document/b65f5b3c873c421e82eeeaa4b8e9f864.msdoc?clientid=fnz&amp;key=9c0e4d166b60ffd3","TMD")</f>
        <v>TMD</v>
      </c>
      <c r="J725" t="s">
        <v>25</v>
      </c>
      <c r="K725" s="1" t="s">
        <v>26</v>
      </c>
      <c r="L725" s="1" t="s">
        <v>27</v>
      </c>
      <c r="M725" s="1" t="s">
        <v>27</v>
      </c>
      <c r="N725" s="1" t="s">
        <v>27</v>
      </c>
      <c r="O725" s="1" t="s">
        <v>27</v>
      </c>
      <c r="P725" s="1" t="s">
        <v>27</v>
      </c>
      <c r="Q725" s="1" t="s">
        <v>27</v>
      </c>
    </row>
    <row r="726" spans="1:17" ht="16.5" customHeight="1" x14ac:dyDescent="0.25">
      <c r="A726" s="1" t="s">
        <v>34</v>
      </c>
      <c r="B726" s="1" t="s">
        <v>1483</v>
      </c>
      <c r="C726" s="1" t="s">
        <v>1484</v>
      </c>
      <c r="D726" s="44"/>
      <c r="E726" s="1" t="s">
        <v>61</v>
      </c>
      <c r="F726" s="1" t="s">
        <v>24</v>
      </c>
      <c r="G726" s="1" t="s">
        <v>24</v>
      </c>
      <c r="H726" s="26">
        <v>30</v>
      </c>
      <c r="I726" s="27" t="str">
        <f>HYPERLINK("https://doc.morningstar.com/Document/7d666fdef0d440b168016a793d14b1f9.msdoc?clientid=fnz&amp;key=9c0e4d166b60ffd3","TMD")</f>
        <v>TMD</v>
      </c>
      <c r="J726" t="s">
        <v>25</v>
      </c>
      <c r="K726" s="1" t="s">
        <v>26</v>
      </c>
      <c r="L726" s="1" t="s">
        <v>27</v>
      </c>
      <c r="M726" s="1" t="s">
        <v>27</v>
      </c>
      <c r="N726" s="1" t="s">
        <v>26</v>
      </c>
      <c r="O726" s="1" t="s">
        <v>26</v>
      </c>
      <c r="P726" s="1" t="s">
        <v>27</v>
      </c>
      <c r="Q726" s="1" t="s">
        <v>27</v>
      </c>
    </row>
    <row r="727" spans="1:17" ht="16.5" customHeight="1" x14ac:dyDescent="0.25">
      <c r="A727" s="1" t="s">
        <v>81</v>
      </c>
      <c r="B727" s="1" t="s">
        <v>1485</v>
      </c>
      <c r="C727" s="1" t="s">
        <v>1486</v>
      </c>
      <c r="D727" s="43"/>
      <c r="E727" s="1" t="s">
        <v>45</v>
      </c>
      <c r="F727" s="1" t="s">
        <v>24</v>
      </c>
      <c r="G727" s="1" t="s">
        <v>24</v>
      </c>
      <c r="H727" s="26">
        <v>50</v>
      </c>
      <c r="I727" s="27" t="str">
        <f>HYPERLINK("https://doc.morningstar.com/Document/76a9e8e074d6545178e3eac94211e019.msdoc?clientid=fnz&amp;key=9c0e4d166b60ffd3","TMD")</f>
        <v>TMD</v>
      </c>
      <c r="J727" t="s">
        <v>62</v>
      </c>
      <c r="K727" s="1" t="s">
        <v>25</v>
      </c>
      <c r="L727" s="1" t="s">
        <v>25</v>
      </c>
      <c r="M727" s="1" t="s">
        <v>25</v>
      </c>
      <c r="N727" s="1" t="s">
        <v>26</v>
      </c>
      <c r="O727" s="1" t="s">
        <v>26</v>
      </c>
      <c r="P727" s="1" t="s">
        <v>27</v>
      </c>
      <c r="Q727" s="1" t="s">
        <v>27</v>
      </c>
    </row>
    <row r="728" spans="1:17" ht="16.5" customHeight="1" x14ac:dyDescent="0.25">
      <c r="A728" s="1" t="s">
        <v>58</v>
      </c>
      <c r="B728" s="1" t="s">
        <v>1487</v>
      </c>
      <c r="C728" s="1" t="s">
        <v>1488</v>
      </c>
      <c r="D728" s="43"/>
      <c r="E728" s="1" t="s">
        <v>23</v>
      </c>
      <c r="F728" s="1" t="s">
        <v>24</v>
      </c>
      <c r="G728" s="1" t="s">
        <v>24</v>
      </c>
      <c r="H728" s="26">
        <v>100</v>
      </c>
      <c r="I728" s="27" t="str">
        <f>HYPERLINK("https://doc.morningstar.com/Document/a9b8abe4ca9af29ce7f920d6b612af4e.msdoc?clientid=fnz&amp;key=9c0e4d166b60ffd3","TMD")</f>
        <v>TMD</v>
      </c>
      <c r="J728" t="s">
        <v>25</v>
      </c>
      <c r="K728" s="1" t="s">
        <v>26</v>
      </c>
      <c r="L728" s="1" t="s">
        <v>216</v>
      </c>
      <c r="M728" s="1" t="s">
        <v>27</v>
      </c>
      <c r="N728" s="1" t="s">
        <v>26</v>
      </c>
      <c r="O728" s="1" t="s">
        <v>26</v>
      </c>
      <c r="P728" s="1" t="s">
        <v>27</v>
      </c>
      <c r="Q728" s="1" t="s">
        <v>27</v>
      </c>
    </row>
    <row r="729" spans="1:17" ht="16.5" customHeight="1" x14ac:dyDescent="0.25">
      <c r="A729" s="1" t="s">
        <v>58</v>
      </c>
      <c r="B729" s="1" t="s">
        <v>1489</v>
      </c>
      <c r="C729" s="1" t="s">
        <v>1490</v>
      </c>
      <c r="D729" s="43"/>
      <c r="E729" s="1" t="s">
        <v>23</v>
      </c>
      <c r="F729" s="1" t="s">
        <v>24</v>
      </c>
      <c r="G729" s="1" t="s">
        <v>24</v>
      </c>
      <c r="H729" s="26">
        <v>100</v>
      </c>
      <c r="I729" s="27" t="str">
        <f>HYPERLINK("https://doc.morningstar.com/Document/c5ccbb8700d015fd5fbd5fa01d42ac91.msdoc?clientid=fnz&amp;key=9c0e4d166b60ffd3","TMD")</f>
        <v>TMD</v>
      </c>
      <c r="J729" t="s">
        <v>25</v>
      </c>
      <c r="K729" s="1" t="s">
        <v>26</v>
      </c>
      <c r="L729" s="1" t="s">
        <v>216</v>
      </c>
      <c r="M729" s="1" t="s">
        <v>27</v>
      </c>
      <c r="N729" s="1" t="s">
        <v>26</v>
      </c>
      <c r="O729" s="1" t="s">
        <v>26</v>
      </c>
      <c r="P729" s="1" t="s">
        <v>27</v>
      </c>
      <c r="Q729" s="1" t="s">
        <v>27</v>
      </c>
    </row>
    <row r="730" spans="1:17" ht="16.5" customHeight="1" x14ac:dyDescent="0.25">
      <c r="A730" s="1" t="s">
        <v>58</v>
      </c>
      <c r="B730" s="1" t="s">
        <v>1491</v>
      </c>
      <c r="C730" s="1" t="s">
        <v>1492</v>
      </c>
      <c r="E730" s="1" t="s">
        <v>23</v>
      </c>
      <c r="F730" s="1" t="s">
        <v>24</v>
      </c>
      <c r="G730" s="1" t="s">
        <v>24</v>
      </c>
      <c r="H730" s="26">
        <v>100</v>
      </c>
      <c r="I730" s="27" t="str">
        <f>HYPERLINK("https://doc.morningstar.com/Document/1b5ed62ff8bcd065f2c697426b917d74.msdoc?clientid=fnz&amp;key=9c0e4d166b60ffd3","TMD")</f>
        <v>TMD</v>
      </c>
      <c r="J730" t="s">
        <v>25</v>
      </c>
      <c r="K730" s="1" t="s">
        <v>26</v>
      </c>
      <c r="L730" s="1" t="s">
        <v>216</v>
      </c>
      <c r="M730" s="1" t="s">
        <v>27</v>
      </c>
      <c r="N730" s="1" t="s">
        <v>26</v>
      </c>
      <c r="O730" s="1" t="s">
        <v>26</v>
      </c>
      <c r="P730" s="1" t="s">
        <v>27</v>
      </c>
      <c r="Q730" s="1" t="s">
        <v>27</v>
      </c>
    </row>
    <row r="731" spans="1:17" ht="16.5" customHeight="1" x14ac:dyDescent="0.25">
      <c r="A731" s="1" t="s">
        <v>1493</v>
      </c>
      <c r="B731" s="1" t="s">
        <v>1494</v>
      </c>
      <c r="H731" s="26">
        <v>100</v>
      </c>
      <c r="I731" s="27" t="s">
        <v>1495</v>
      </c>
    </row>
    <row r="732" spans="1:17" ht="16.5" customHeight="1" x14ac:dyDescent="0.25">
      <c r="A732" s="1" t="s">
        <v>1493</v>
      </c>
      <c r="B732" s="1" t="s">
        <v>1496</v>
      </c>
      <c r="G732" s="26"/>
      <c r="H732" s="26">
        <v>100</v>
      </c>
      <c r="I732" s="27" t="s">
        <v>1495</v>
      </c>
    </row>
    <row r="733" spans="1:17" ht="16.5" customHeight="1" x14ac:dyDescent="0.25">
      <c r="A733" s="1" t="s">
        <v>1493</v>
      </c>
      <c r="B733" s="1" t="s">
        <v>1497</v>
      </c>
      <c r="G733" s="26"/>
      <c r="H733" s="26">
        <v>100</v>
      </c>
      <c r="I733" s="41" t="s">
        <v>1495</v>
      </c>
    </row>
    <row r="734" spans="1:17" ht="16.5" customHeight="1" x14ac:dyDescent="0.25">
      <c r="G734" s="26"/>
      <c r="H734" s="26"/>
    </row>
    <row r="735" spans="1:17" ht="16.5" customHeight="1" x14ac:dyDescent="0.25">
      <c r="A735" s="9" t="s">
        <v>1498</v>
      </c>
      <c r="G735" s="26"/>
      <c r="H735" s="26"/>
    </row>
    <row r="736" spans="1:17" ht="16.5" customHeight="1" x14ac:dyDescent="0.25">
      <c r="A736" s="5" t="s">
        <v>1499</v>
      </c>
      <c r="G736" s="26"/>
      <c r="H736" s="26"/>
    </row>
    <row r="737" spans="1:16" x14ac:dyDescent="0.25">
      <c r="A737" s="5" t="s">
        <v>1500</v>
      </c>
      <c r="B737" s="45">
        <v>2.8000000000000001E-2</v>
      </c>
      <c r="C737" s="7"/>
      <c r="D737" s="7"/>
      <c r="E737" s="7"/>
      <c r="F737" s="7"/>
      <c r="G737" s="7"/>
      <c r="H737" s="6"/>
      <c r="I737" s="7"/>
      <c r="J737" s="7"/>
      <c r="K737" s="7"/>
      <c r="L737" s="7"/>
      <c r="M737" s="7"/>
      <c r="N737" s="7"/>
      <c r="O737" s="7"/>
      <c r="P737" s="7"/>
    </row>
    <row r="738" spans="1:16" x14ac:dyDescent="0.25">
      <c r="A738" s="5" t="s">
        <v>1501</v>
      </c>
      <c r="B738" s="45">
        <v>2.8000000000000001E-2</v>
      </c>
      <c r="C738" s="7"/>
      <c r="D738" s="7"/>
      <c r="E738" s="7"/>
      <c r="F738" s="7"/>
      <c r="G738" s="7"/>
      <c r="H738" s="6"/>
      <c r="I738" s="7"/>
      <c r="J738" s="7"/>
      <c r="K738" s="7"/>
      <c r="L738" s="7"/>
      <c r="M738" s="7"/>
      <c r="N738" s="7"/>
      <c r="O738" s="7"/>
      <c r="P738" s="7"/>
    </row>
    <row r="739" spans="1:16" x14ac:dyDescent="0.25">
      <c r="A739" s="7"/>
      <c r="B739" s="7"/>
      <c r="C739" s="7"/>
      <c r="D739" s="7"/>
      <c r="E739" s="7"/>
      <c r="F739" s="7"/>
      <c r="G739" s="7"/>
      <c r="H739" s="6"/>
      <c r="I739" s="7"/>
      <c r="J739" s="7"/>
      <c r="K739" s="7"/>
      <c r="L739" s="7"/>
      <c r="M739" s="7"/>
      <c r="N739" s="7"/>
      <c r="O739" s="7"/>
      <c r="P739" s="7"/>
    </row>
    <row r="740" spans="1:16" x14ac:dyDescent="0.25">
      <c r="A740" s="9" t="s">
        <v>1502</v>
      </c>
    </row>
    <row r="741" spans="1:16" x14ac:dyDescent="0.25">
      <c r="A741" s="9"/>
    </row>
    <row r="742" spans="1:16" x14ac:dyDescent="0.25">
      <c r="A742" s="36" t="s">
        <v>1503</v>
      </c>
    </row>
    <row r="744" spans="1:16" ht="14.65" customHeight="1" x14ac:dyDescent="0.25">
      <c r="A744" s="47" t="s">
        <v>1504</v>
      </c>
      <c r="B744" s="47"/>
      <c r="C744" s="47"/>
      <c r="D744" s="47"/>
      <c r="E744" s="47"/>
      <c r="F744" s="47"/>
      <c r="G744" s="47"/>
      <c r="H744" s="47"/>
      <c r="I744" s="47"/>
      <c r="J744" s="47"/>
      <c r="K744" s="47"/>
      <c r="L744" s="47"/>
      <c r="M744" s="47"/>
      <c r="N744" s="47"/>
      <c r="O744" s="47"/>
      <c r="P744" s="47"/>
    </row>
    <row r="746" spans="1:16" ht="14.65" customHeight="1" x14ac:dyDescent="0.25">
      <c r="A746" s="57" t="s">
        <v>1505</v>
      </c>
      <c r="B746" s="57"/>
      <c r="C746" s="57"/>
      <c r="D746" s="57"/>
      <c r="E746" s="57"/>
      <c r="F746" s="57"/>
      <c r="G746" s="57"/>
      <c r="H746" s="57"/>
      <c r="I746" s="57"/>
      <c r="J746" s="57"/>
      <c r="K746" s="57"/>
      <c r="L746" s="57"/>
      <c r="M746" s="57"/>
      <c r="N746" s="57"/>
      <c r="O746" s="57"/>
      <c r="P746" s="57"/>
    </row>
    <row r="748" spans="1:16" ht="15" customHeight="1" x14ac:dyDescent="0.25">
      <c r="A748" s="47" t="s">
        <v>1506</v>
      </c>
      <c r="B748" s="47"/>
      <c r="C748" s="47"/>
      <c r="D748" s="47"/>
      <c r="E748" s="47"/>
      <c r="F748" s="47"/>
      <c r="G748" s="47"/>
      <c r="H748" s="47"/>
      <c r="I748" s="47"/>
      <c r="J748" s="47"/>
      <c r="K748" s="47"/>
      <c r="L748" s="47"/>
      <c r="M748" s="47"/>
      <c r="N748" s="47"/>
      <c r="O748" s="47"/>
      <c r="P748" s="47"/>
    </row>
    <row r="749" spans="1:16" ht="14.65" customHeight="1" x14ac:dyDescent="0.25"/>
    <row r="750" spans="1:16" x14ac:dyDescent="0.25">
      <c r="A750" t="s">
        <v>1507</v>
      </c>
      <c r="H750" s="1"/>
    </row>
    <row r="752" spans="1:16" x14ac:dyDescent="0.25">
      <c r="A752" s="9" t="s">
        <v>1508</v>
      </c>
    </row>
    <row r="754" spans="1:16" ht="15" customHeight="1" x14ac:dyDescent="0.25">
      <c r="A754" s="47" t="s">
        <v>1509</v>
      </c>
      <c r="B754" s="47"/>
      <c r="C754" s="47"/>
      <c r="D754" s="47"/>
      <c r="E754" s="47"/>
      <c r="F754" s="47"/>
      <c r="G754" s="47"/>
      <c r="H754" s="47"/>
      <c r="I754" s="47"/>
      <c r="J754" s="47"/>
      <c r="K754" s="47"/>
      <c r="L754" s="47"/>
      <c r="M754" s="47"/>
      <c r="N754" s="47"/>
      <c r="O754" s="47"/>
      <c r="P754" s="47"/>
    </row>
    <row r="756" spans="1:16" ht="15" customHeight="1" x14ac:dyDescent="0.25">
      <c r="A756" s="58" t="s">
        <v>1510</v>
      </c>
      <c r="B756" s="58"/>
      <c r="C756" s="58"/>
      <c r="D756" s="58"/>
      <c r="E756" s="58"/>
      <c r="F756" s="58"/>
      <c r="G756" s="58"/>
      <c r="H756" s="58"/>
      <c r="I756" s="58"/>
      <c r="J756" s="58"/>
      <c r="K756" s="58"/>
      <c r="L756" s="58"/>
      <c r="M756" s="58"/>
      <c r="N756" s="58"/>
      <c r="O756" s="58"/>
      <c r="P756" s="58"/>
    </row>
    <row r="757" spans="1:16" x14ac:dyDescent="0.25">
      <c r="A757" s="58"/>
      <c r="B757" s="58"/>
      <c r="C757" s="58"/>
      <c r="D757" s="58"/>
      <c r="E757" s="58"/>
      <c r="F757" s="58"/>
      <c r="G757" s="58"/>
      <c r="H757" s="58"/>
      <c r="I757" s="58"/>
      <c r="J757" s="58"/>
      <c r="K757" s="58"/>
      <c r="L757" s="58"/>
      <c r="M757" s="58"/>
      <c r="N757" s="58"/>
      <c r="O757" s="58"/>
      <c r="P757" s="58"/>
    </row>
    <row r="758" spans="1:16" x14ac:dyDescent="0.25">
      <c r="A758" s="58"/>
      <c r="B758" s="58"/>
      <c r="C758" s="58"/>
      <c r="D758" s="58"/>
      <c r="E758" s="58"/>
      <c r="F758" s="58"/>
      <c r="G758" s="58"/>
      <c r="H758" s="58"/>
      <c r="I758" s="58"/>
      <c r="J758" s="58"/>
      <c r="K758" s="58"/>
      <c r="L758" s="58"/>
      <c r="M758" s="58"/>
      <c r="N758" s="58"/>
      <c r="O758" s="58"/>
      <c r="P758" s="58"/>
    </row>
    <row r="760" spans="1:16" ht="15" customHeight="1" x14ac:dyDescent="0.25">
      <c r="A760" s="47" t="s">
        <v>1511</v>
      </c>
      <c r="B760" s="47"/>
      <c r="C760" s="47"/>
      <c r="D760" s="47"/>
      <c r="E760" s="47"/>
      <c r="F760" s="47"/>
      <c r="G760" s="47"/>
      <c r="H760" s="47"/>
      <c r="I760" s="47"/>
      <c r="J760" s="47"/>
      <c r="K760" s="47"/>
      <c r="L760" s="47"/>
      <c r="M760" s="47"/>
      <c r="N760" s="47"/>
      <c r="O760" s="47"/>
      <c r="P760" s="47"/>
    </row>
    <row r="762" spans="1:16" ht="15" customHeight="1" x14ac:dyDescent="0.25">
      <c r="A762" s="46" t="s">
        <v>1512</v>
      </c>
      <c r="B762" s="46"/>
      <c r="C762" s="46"/>
      <c r="D762" s="46"/>
      <c r="E762" s="46"/>
      <c r="F762" s="46"/>
      <c r="G762" s="46"/>
      <c r="H762" s="46"/>
      <c r="I762" s="46"/>
      <c r="J762" s="46"/>
      <c r="K762" s="46"/>
      <c r="L762" s="46"/>
      <c r="M762" s="46"/>
      <c r="N762" s="46"/>
      <c r="O762" s="46"/>
      <c r="P762" s="46"/>
    </row>
    <row r="763" spans="1:16" x14ac:dyDescent="0.25">
      <c r="A763" s="46"/>
      <c r="B763" s="46"/>
      <c r="C763" s="46"/>
      <c r="D763" s="46"/>
      <c r="E763" s="46"/>
      <c r="F763" s="46"/>
      <c r="G763" s="46"/>
      <c r="H763" s="46"/>
      <c r="I763" s="46"/>
      <c r="J763" s="46"/>
      <c r="K763" s="46"/>
      <c r="L763" s="46"/>
      <c r="M763" s="46"/>
      <c r="N763" s="46"/>
      <c r="O763" s="46"/>
      <c r="P763" s="46"/>
    </row>
    <row r="764" spans="1:16" x14ac:dyDescent="0.25">
      <c r="A764" s="46"/>
      <c r="B764" s="46"/>
      <c r="C764" s="46"/>
      <c r="D764" s="46"/>
      <c r="E764" s="46"/>
      <c r="F764" s="46"/>
      <c r="G764" s="46"/>
      <c r="H764" s="46"/>
      <c r="I764" s="46"/>
      <c r="J764" s="46"/>
      <c r="K764" s="46"/>
      <c r="L764" s="46"/>
      <c r="M764" s="46"/>
      <c r="N764" s="46"/>
      <c r="O764" s="46"/>
      <c r="P764" s="46"/>
    </row>
    <row r="765" spans="1:16" x14ac:dyDescent="0.25">
      <c r="A765" s="46"/>
      <c r="B765" s="46"/>
      <c r="C765" s="46"/>
      <c r="D765" s="46"/>
      <c r="E765" s="46"/>
      <c r="F765" s="46"/>
      <c r="G765" s="46"/>
      <c r="H765" s="46"/>
      <c r="I765" s="46"/>
      <c r="J765" s="46"/>
      <c r="K765" s="46"/>
      <c r="L765" s="46"/>
      <c r="M765" s="46"/>
      <c r="N765" s="46"/>
      <c r="O765" s="46"/>
      <c r="P765" s="46"/>
    </row>
    <row r="766" spans="1:16" x14ac:dyDescent="0.25">
      <c r="A766" s="46"/>
      <c r="B766" s="46"/>
      <c r="C766" s="46"/>
      <c r="D766" s="46"/>
      <c r="E766" s="46"/>
      <c r="F766" s="46"/>
      <c r="G766" s="46"/>
      <c r="H766" s="46"/>
      <c r="I766" s="46"/>
      <c r="J766" s="46"/>
      <c r="K766" s="46"/>
      <c r="L766" s="46"/>
      <c r="M766" s="46"/>
      <c r="N766" s="46"/>
      <c r="O766" s="46"/>
      <c r="P766" s="46"/>
    </row>
    <row r="767" spans="1:16" x14ac:dyDescent="0.25">
      <c r="A767" s="7"/>
      <c r="B767" s="7"/>
      <c r="C767" s="7"/>
      <c r="D767" s="7"/>
      <c r="E767" s="7"/>
      <c r="F767" s="7"/>
      <c r="G767" s="7"/>
      <c r="H767" s="7"/>
      <c r="I767" s="7"/>
      <c r="J767" s="7"/>
      <c r="K767" s="7"/>
      <c r="L767" s="7"/>
      <c r="M767" s="7"/>
      <c r="N767" s="7"/>
      <c r="O767" s="7"/>
      <c r="P767" s="7"/>
    </row>
    <row r="768" spans="1:16" x14ac:dyDescent="0.25">
      <c r="A768" s="7"/>
      <c r="B768" s="7"/>
      <c r="C768" s="7"/>
      <c r="D768" s="7"/>
      <c r="E768" s="7"/>
      <c r="F768" s="7"/>
      <c r="G768" s="7"/>
      <c r="H768" s="7"/>
      <c r="I768" s="7"/>
      <c r="J768" s="7"/>
      <c r="K768" s="7"/>
      <c r="L768" s="7"/>
      <c r="M768" s="7"/>
      <c r="N768" s="7"/>
      <c r="O768" s="7"/>
      <c r="P768" s="7"/>
    </row>
    <row r="769" spans="1:16" x14ac:dyDescent="0.25">
      <c r="A769" s="7"/>
      <c r="B769" s="7"/>
      <c r="C769" s="7"/>
      <c r="D769" s="7"/>
      <c r="E769" s="7"/>
      <c r="F769" s="7"/>
      <c r="G769" s="7"/>
      <c r="H769" s="7"/>
      <c r="I769" s="7"/>
      <c r="J769" s="7"/>
      <c r="K769" s="7"/>
      <c r="L769" s="7"/>
      <c r="M769" s="7"/>
      <c r="N769" s="7"/>
      <c r="O769" s="7"/>
      <c r="P769" s="7"/>
    </row>
  </sheetData>
  <autoFilter ref="A13:Q733" xr:uid="{00000000-0001-0000-0000-000000000000}"/>
  <mergeCells count="8">
    <mergeCell ref="A762:P766"/>
    <mergeCell ref="A748:P748"/>
    <mergeCell ref="A754:P754"/>
    <mergeCell ref="A6:P8"/>
    <mergeCell ref="A744:P744"/>
    <mergeCell ref="A746:P746"/>
    <mergeCell ref="A760:P760"/>
    <mergeCell ref="A756:P758"/>
  </mergeCells>
  <pageMargins left="0.3" right="0.05" top="0.05" bottom="0.4" header="0.315" footer="0.05"/>
  <pageSetup paperSize="9" scale="33" fitToHeight="0" orientation="landscape" r:id="rId1"/>
  <headerFooter>
    <oddFooter>&amp;C_x000D_&amp;1#&amp;"Calibri"&amp;10&amp;K000000 PUBLIC&amp;RPage &amp;P of &amp;N&amp;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BDBBC-F3DF-418C-9C3B-21292F12A9FE}">
  <dimension ref="A1:V115"/>
  <sheetViews>
    <sheetView workbookViewId="0">
      <selection activeCell="B10" sqref="B10"/>
    </sheetView>
  </sheetViews>
  <sheetFormatPr defaultColWidth="9.140625" defaultRowHeight="15" x14ac:dyDescent="0.25"/>
  <cols>
    <col min="1" max="1" width="51.7109375" style="21" customWidth="1"/>
    <col min="2" max="2" width="52.5703125" style="21" customWidth="1"/>
    <col min="3" max="3" width="19" style="21" customWidth="1"/>
    <col min="4" max="4" width="28" style="21" customWidth="1"/>
    <col min="5" max="16384" width="9.140625" style="21"/>
  </cols>
  <sheetData>
    <row r="1" spans="1:19" s="44" customFormat="1" x14ac:dyDescent="0.25"/>
    <row r="2" spans="1:19" s="44" customFormat="1" x14ac:dyDescent="0.25"/>
    <row r="3" spans="1:19" s="44" customFormat="1" x14ac:dyDescent="0.25"/>
    <row r="4" spans="1:19" s="44" customFormat="1" x14ac:dyDescent="0.25"/>
    <row r="5" spans="1:19" s="44" customFormat="1" ht="15.75" thickBot="1" x14ac:dyDescent="0.3"/>
    <row r="6" spans="1:19" s="44" customFormat="1" ht="15" customHeight="1" thickTop="1" x14ac:dyDescent="0.25">
      <c r="A6" s="73" t="s">
        <v>0</v>
      </c>
      <c r="B6" s="74"/>
      <c r="C6" s="74"/>
      <c r="D6" s="74"/>
      <c r="E6" s="74"/>
      <c r="F6" s="74"/>
      <c r="G6" s="74"/>
      <c r="H6" s="74"/>
      <c r="I6" s="74"/>
      <c r="J6" s="74"/>
      <c r="K6" s="74"/>
      <c r="L6" s="74"/>
      <c r="M6" s="74"/>
      <c r="N6" s="74"/>
      <c r="O6" s="74"/>
      <c r="P6" s="74"/>
      <c r="Q6" s="74"/>
      <c r="R6" s="74"/>
      <c r="S6" s="75"/>
    </row>
    <row r="7" spans="1:19" s="44" customFormat="1" x14ac:dyDescent="0.25">
      <c r="A7" s="76"/>
      <c r="B7" s="77"/>
      <c r="C7" s="77"/>
      <c r="D7" s="77"/>
      <c r="E7" s="77"/>
      <c r="F7" s="77"/>
      <c r="G7" s="77"/>
      <c r="H7" s="77"/>
      <c r="I7" s="77"/>
      <c r="J7" s="77"/>
      <c r="K7" s="77"/>
      <c r="L7" s="77"/>
      <c r="M7" s="77"/>
      <c r="N7" s="77"/>
      <c r="O7" s="77"/>
      <c r="P7" s="77"/>
      <c r="Q7" s="77"/>
      <c r="R7" s="77"/>
      <c r="S7" s="78"/>
    </row>
    <row r="8" spans="1:19" s="44" customFormat="1" ht="15.75" thickBot="1" x14ac:dyDescent="0.3">
      <c r="A8" s="79"/>
      <c r="B8" s="80"/>
      <c r="C8" s="80"/>
      <c r="D8" s="80"/>
      <c r="E8" s="80"/>
      <c r="F8" s="80"/>
      <c r="G8" s="80"/>
      <c r="H8" s="80"/>
      <c r="I8" s="80"/>
      <c r="J8" s="80"/>
      <c r="K8" s="80"/>
      <c r="L8" s="80"/>
      <c r="M8" s="80"/>
      <c r="N8" s="80"/>
      <c r="O8" s="80"/>
      <c r="P8" s="80"/>
      <c r="Q8" s="80"/>
      <c r="R8" s="80"/>
      <c r="S8" s="81"/>
    </row>
    <row r="9" spans="1:19" s="44" customFormat="1" ht="15.75" thickTop="1" x14ac:dyDescent="0.25"/>
    <row r="10" spans="1:19" s="44" customFormat="1" ht="23.25" x14ac:dyDescent="0.35">
      <c r="A10" s="82" t="s">
        <v>6175</v>
      </c>
    </row>
    <row r="11" spans="1:19" s="44" customFormat="1" ht="15.75" x14ac:dyDescent="0.25">
      <c r="A11" s="83" t="s">
        <v>6176</v>
      </c>
    </row>
    <row r="12" spans="1:19" s="44" customFormat="1" x14ac:dyDescent="0.25"/>
    <row r="13" spans="1:19" x14ac:dyDescent="0.25">
      <c r="A13" s="42" t="s">
        <v>3</v>
      </c>
      <c r="B13" s="42" t="s">
        <v>4</v>
      </c>
      <c r="C13" s="42" t="s">
        <v>5</v>
      </c>
      <c r="D13" s="42" t="s">
        <v>7</v>
      </c>
    </row>
    <row r="14" spans="1:19" x14ac:dyDescent="0.25">
      <c r="A14" s="84" t="s">
        <v>141</v>
      </c>
      <c r="B14" s="84" t="s">
        <v>6177</v>
      </c>
      <c r="C14" s="84" t="s">
        <v>6178</v>
      </c>
      <c r="D14" s="84" t="s">
        <v>45</v>
      </c>
    </row>
    <row r="15" spans="1:19" x14ac:dyDescent="0.25">
      <c r="A15" s="84" t="s">
        <v>84</v>
      </c>
      <c r="B15" s="84" t="s">
        <v>6179</v>
      </c>
      <c r="C15" s="84" t="s">
        <v>6180</v>
      </c>
      <c r="D15" s="84" t="s">
        <v>40</v>
      </c>
    </row>
    <row r="16" spans="1:19" x14ac:dyDescent="0.25">
      <c r="A16" s="84" t="s">
        <v>141</v>
      </c>
      <c r="B16" s="84" t="s">
        <v>6181</v>
      </c>
      <c r="C16" s="84" t="s">
        <v>6182</v>
      </c>
      <c r="D16" s="84" t="s">
        <v>61</v>
      </c>
    </row>
    <row r="17" spans="1:4" x14ac:dyDescent="0.25">
      <c r="A17" s="84" t="s">
        <v>141</v>
      </c>
      <c r="B17" s="84" t="s">
        <v>6183</v>
      </c>
      <c r="C17" s="84" t="s">
        <v>6184</v>
      </c>
      <c r="D17" s="84" t="s">
        <v>61</v>
      </c>
    </row>
    <row r="18" spans="1:4" x14ac:dyDescent="0.25">
      <c r="A18" s="84" t="s">
        <v>141</v>
      </c>
      <c r="B18" s="84" t="s">
        <v>6185</v>
      </c>
      <c r="C18" s="84" t="s">
        <v>6186</v>
      </c>
      <c r="D18" s="84" t="s">
        <v>45</v>
      </c>
    </row>
    <row r="19" spans="1:4" x14ac:dyDescent="0.25">
      <c r="A19" s="84" t="s">
        <v>377</v>
      </c>
      <c r="B19" s="84" t="s">
        <v>6187</v>
      </c>
      <c r="C19" s="84" t="s">
        <v>6188</v>
      </c>
      <c r="D19" s="84" t="s">
        <v>45</v>
      </c>
    </row>
    <row r="20" spans="1:4" x14ac:dyDescent="0.25">
      <c r="A20" s="84" t="s">
        <v>377</v>
      </c>
      <c r="B20" s="84" t="s">
        <v>6189</v>
      </c>
      <c r="C20" s="84" t="s">
        <v>6190</v>
      </c>
      <c r="D20" s="84" t="s">
        <v>45</v>
      </c>
    </row>
    <row r="21" spans="1:4" x14ac:dyDescent="0.25">
      <c r="A21" s="84" t="s">
        <v>37</v>
      </c>
      <c r="B21" s="84" t="s">
        <v>6191</v>
      </c>
      <c r="C21" s="84" t="s">
        <v>6192</v>
      </c>
      <c r="D21" s="84" t="s">
        <v>40</v>
      </c>
    </row>
    <row r="22" spans="1:4" x14ac:dyDescent="0.25">
      <c r="A22" s="84" t="s">
        <v>141</v>
      </c>
      <c r="B22" s="84" t="s">
        <v>6193</v>
      </c>
      <c r="C22" s="84" t="s">
        <v>6194</v>
      </c>
      <c r="D22" s="84" t="s">
        <v>45</v>
      </c>
    </row>
    <row r="23" spans="1:4" x14ac:dyDescent="0.25">
      <c r="A23" s="84" t="s">
        <v>141</v>
      </c>
      <c r="B23" s="84" t="s">
        <v>6195</v>
      </c>
      <c r="C23" s="84" t="s">
        <v>6196</v>
      </c>
      <c r="D23" s="84" t="s">
        <v>45</v>
      </c>
    </row>
    <row r="24" spans="1:4" x14ac:dyDescent="0.25">
      <c r="A24" s="84" t="s">
        <v>141</v>
      </c>
      <c r="B24" s="84" t="s">
        <v>6197</v>
      </c>
      <c r="C24" s="84" t="s">
        <v>6198</v>
      </c>
      <c r="D24" s="84" t="s">
        <v>45</v>
      </c>
    </row>
    <row r="25" spans="1:4" x14ac:dyDescent="0.25">
      <c r="A25" s="84" t="s">
        <v>141</v>
      </c>
      <c r="B25" s="84" t="s">
        <v>6199</v>
      </c>
      <c r="C25" s="84" t="s">
        <v>6200</v>
      </c>
      <c r="D25" s="84" t="s">
        <v>61</v>
      </c>
    </row>
    <row r="26" spans="1:4" x14ac:dyDescent="0.25">
      <c r="A26" s="84" t="s">
        <v>141</v>
      </c>
      <c r="B26" s="84" t="s">
        <v>6201</v>
      </c>
      <c r="C26" s="84" t="s">
        <v>6202</v>
      </c>
      <c r="D26" s="84" t="s">
        <v>40</v>
      </c>
    </row>
    <row r="27" spans="1:4" x14ac:dyDescent="0.25">
      <c r="A27" s="84" t="s">
        <v>6203</v>
      </c>
      <c r="B27" s="84" t="s">
        <v>6204</v>
      </c>
      <c r="C27" s="84" t="s">
        <v>6205</v>
      </c>
      <c r="D27" s="84" t="s">
        <v>40</v>
      </c>
    </row>
    <row r="28" spans="1:4" x14ac:dyDescent="0.25">
      <c r="A28" s="84" t="s">
        <v>84</v>
      </c>
      <c r="B28" s="84" t="s">
        <v>6206</v>
      </c>
      <c r="C28" s="84" t="s">
        <v>6207</v>
      </c>
      <c r="D28" s="84" t="s">
        <v>45</v>
      </c>
    </row>
    <row r="29" spans="1:4" x14ac:dyDescent="0.25">
      <c r="A29" s="84" t="s">
        <v>377</v>
      </c>
      <c r="B29" s="84" t="s">
        <v>6208</v>
      </c>
      <c r="C29" s="84" t="s">
        <v>6209</v>
      </c>
      <c r="D29" s="84" t="s">
        <v>40</v>
      </c>
    </row>
    <row r="30" spans="1:4" x14ac:dyDescent="0.25">
      <c r="A30" s="84" t="s">
        <v>6210</v>
      </c>
      <c r="B30" s="84" t="s">
        <v>6211</v>
      </c>
      <c r="C30" s="84" t="s">
        <v>6212</v>
      </c>
      <c r="D30" s="84" t="s">
        <v>23</v>
      </c>
    </row>
    <row r="31" spans="1:4" ht="15" customHeight="1" x14ac:dyDescent="0.25">
      <c r="A31" s="84" t="s">
        <v>141</v>
      </c>
      <c r="B31" s="84" t="s">
        <v>6213</v>
      </c>
      <c r="C31" s="84" t="s">
        <v>6214</v>
      </c>
      <c r="D31" s="84" t="s">
        <v>61</v>
      </c>
    </row>
    <row r="32" spans="1:4" ht="15" customHeight="1" x14ac:dyDescent="0.25">
      <c r="A32" s="84" t="s">
        <v>141</v>
      </c>
      <c r="B32" s="84" t="s">
        <v>6215</v>
      </c>
      <c r="C32" s="84" t="s">
        <v>6216</v>
      </c>
      <c r="D32" s="84" t="s">
        <v>61</v>
      </c>
    </row>
    <row r="33" spans="1:7" ht="15" customHeight="1" x14ac:dyDescent="0.25">
      <c r="A33" s="84" t="s">
        <v>141</v>
      </c>
      <c r="B33" s="84" t="s">
        <v>6217</v>
      </c>
      <c r="C33" s="84" t="s">
        <v>6218</v>
      </c>
      <c r="D33" s="84" t="s">
        <v>6219</v>
      </c>
    </row>
    <row r="34" spans="1:7" ht="15" customHeight="1" x14ac:dyDescent="0.25">
      <c r="A34" s="84" t="s">
        <v>141</v>
      </c>
      <c r="B34" s="84" t="s">
        <v>6220</v>
      </c>
      <c r="C34" s="84" t="s">
        <v>6221</v>
      </c>
      <c r="D34" s="84" t="s">
        <v>61</v>
      </c>
    </row>
    <row r="35" spans="1:7" ht="15" customHeight="1" x14ac:dyDescent="0.25">
      <c r="A35" s="84" t="s">
        <v>37</v>
      </c>
      <c r="B35" s="84" t="s">
        <v>6222</v>
      </c>
      <c r="C35" s="84" t="s">
        <v>6223</v>
      </c>
      <c r="D35" s="84" t="s">
        <v>61</v>
      </c>
    </row>
    <row r="36" spans="1:7" ht="15" customHeight="1" x14ac:dyDescent="0.25">
      <c r="A36" s="84" t="s">
        <v>141</v>
      </c>
      <c r="B36" s="84" t="s">
        <v>6224</v>
      </c>
      <c r="C36" s="84" t="s">
        <v>6225</v>
      </c>
      <c r="D36" s="84" t="s">
        <v>61</v>
      </c>
    </row>
    <row r="37" spans="1:7" ht="15" customHeight="1" x14ac:dyDescent="0.25">
      <c r="A37" s="84" t="s">
        <v>141</v>
      </c>
      <c r="B37" s="84" t="s">
        <v>6226</v>
      </c>
      <c r="C37" s="84" t="s">
        <v>6227</v>
      </c>
      <c r="D37" s="84" t="s">
        <v>40</v>
      </c>
    </row>
    <row r="38" spans="1:7" ht="15" customHeight="1" x14ac:dyDescent="0.25">
      <c r="A38" s="84" t="s">
        <v>37</v>
      </c>
      <c r="B38" s="85" t="s">
        <v>6228</v>
      </c>
      <c r="C38" s="84" t="s">
        <v>6229</v>
      </c>
      <c r="D38" s="84" t="s">
        <v>45</v>
      </c>
    </row>
    <row r="39" spans="1:7" ht="15" customHeight="1" x14ac:dyDescent="0.25">
      <c r="A39" s="84" t="s">
        <v>6210</v>
      </c>
      <c r="B39" s="85" t="s">
        <v>6230</v>
      </c>
      <c r="C39" s="85" t="s">
        <v>6231</v>
      </c>
      <c r="D39" s="84" t="s">
        <v>61</v>
      </c>
    </row>
    <row r="40" spans="1:7" ht="15" customHeight="1" x14ac:dyDescent="0.25">
      <c r="A40" s="85" t="s">
        <v>281</v>
      </c>
      <c r="B40" s="85" t="s">
        <v>6232</v>
      </c>
      <c r="C40" s="85" t="s">
        <v>6233</v>
      </c>
      <c r="D40" s="84" t="s">
        <v>40</v>
      </c>
    </row>
    <row r="41" spans="1:7" ht="15" customHeight="1" x14ac:dyDescent="0.25">
      <c r="A41" s="44" t="s">
        <v>31</v>
      </c>
      <c r="B41" s="86" t="s">
        <v>6234</v>
      </c>
      <c r="C41" s="86" t="s">
        <v>6235</v>
      </c>
      <c r="D41" s="87" t="s">
        <v>23</v>
      </c>
    </row>
    <row r="42" spans="1:7" ht="15" customHeight="1" x14ac:dyDescent="0.25">
      <c r="A42" s="44" t="s">
        <v>141</v>
      </c>
      <c r="B42" s="86" t="s">
        <v>6236</v>
      </c>
      <c r="C42" s="86" t="s">
        <v>6237</v>
      </c>
      <c r="D42" s="87" t="s">
        <v>40</v>
      </c>
    </row>
    <row r="43" spans="1:7" ht="15" customHeight="1" x14ac:dyDescent="0.25">
      <c r="A43" s="44" t="s">
        <v>377</v>
      </c>
      <c r="B43" s="86" t="s">
        <v>6238</v>
      </c>
      <c r="C43" s="21" t="s">
        <v>6239</v>
      </c>
      <c r="D43" s="87" t="s">
        <v>45</v>
      </c>
    </row>
    <row r="44" spans="1:7" ht="15" customHeight="1" x14ac:dyDescent="0.25">
      <c r="A44" s="44"/>
      <c r="B44" s="86"/>
      <c r="C44" s="86"/>
      <c r="D44" s="87"/>
    </row>
    <row r="45" spans="1:7" ht="30" x14ac:dyDescent="0.25">
      <c r="A45" s="88" t="s">
        <v>1869</v>
      </c>
      <c r="B45" s="88" t="s">
        <v>4430</v>
      </c>
      <c r="C45" s="89" t="s">
        <v>4431</v>
      </c>
      <c r="D45" s="88" t="s">
        <v>1872</v>
      </c>
      <c r="E45" s="88" t="s">
        <v>4432</v>
      </c>
      <c r="F45" s="90"/>
      <c r="G45" s="91"/>
    </row>
    <row r="46" spans="1:7" x14ac:dyDescent="0.25">
      <c r="A46" s="92" t="s">
        <v>4433</v>
      </c>
      <c r="B46" s="92" t="s">
        <v>6240</v>
      </c>
      <c r="C46" s="92" t="s">
        <v>6241</v>
      </c>
      <c r="D46" s="92" t="s">
        <v>1917</v>
      </c>
      <c r="E46" s="92" t="s">
        <v>4436</v>
      </c>
    </row>
    <row r="47" spans="1:7" x14ac:dyDescent="0.25">
      <c r="A47" s="92" t="s">
        <v>4433</v>
      </c>
      <c r="B47" s="92" t="s">
        <v>6242</v>
      </c>
      <c r="C47" s="92" t="s">
        <v>6243</v>
      </c>
      <c r="D47" s="92" t="s">
        <v>1917</v>
      </c>
      <c r="E47" s="92" t="s">
        <v>4439</v>
      </c>
    </row>
    <row r="48" spans="1:7" x14ac:dyDescent="0.25">
      <c r="A48" s="92" t="s">
        <v>4433</v>
      </c>
      <c r="B48" s="92" t="s">
        <v>6244</v>
      </c>
      <c r="C48" s="92" t="s">
        <v>6245</v>
      </c>
      <c r="D48" s="92" t="s">
        <v>1917</v>
      </c>
      <c r="E48" s="92" t="s">
        <v>4439</v>
      </c>
    </row>
    <row r="49" spans="1:5" x14ac:dyDescent="0.25">
      <c r="A49" s="92" t="s">
        <v>4433</v>
      </c>
      <c r="B49" s="92" t="s">
        <v>6246</v>
      </c>
      <c r="C49" s="92" t="s">
        <v>6247</v>
      </c>
      <c r="D49" s="92" t="s">
        <v>1917</v>
      </c>
      <c r="E49" s="92" t="s">
        <v>4439</v>
      </c>
    </row>
    <row r="50" spans="1:5" x14ac:dyDescent="0.25">
      <c r="A50" s="92" t="s">
        <v>4433</v>
      </c>
      <c r="B50" s="92" t="s">
        <v>6248</v>
      </c>
      <c r="C50" s="92" t="s">
        <v>6249</v>
      </c>
      <c r="D50" s="92" t="s">
        <v>1917</v>
      </c>
      <c r="E50" s="92" t="s">
        <v>4439</v>
      </c>
    </row>
    <row r="51" spans="1:5" x14ac:dyDescent="0.25">
      <c r="A51" s="92" t="s">
        <v>4433</v>
      </c>
      <c r="B51" s="92" t="s">
        <v>6250</v>
      </c>
      <c r="C51" s="92" t="s">
        <v>6251</v>
      </c>
      <c r="D51" s="92" t="s">
        <v>1917</v>
      </c>
      <c r="E51" s="92" t="s">
        <v>4439</v>
      </c>
    </row>
    <row r="52" spans="1:5" x14ac:dyDescent="0.25">
      <c r="A52" s="92" t="s">
        <v>4433</v>
      </c>
      <c r="B52" s="92" t="s">
        <v>6252</v>
      </c>
      <c r="C52" s="92" t="s">
        <v>6253</v>
      </c>
      <c r="D52" s="92" t="s">
        <v>1917</v>
      </c>
      <c r="E52" s="92" t="s">
        <v>4439</v>
      </c>
    </row>
    <row r="53" spans="1:5" x14ac:dyDescent="0.25">
      <c r="A53" s="92" t="s">
        <v>4433</v>
      </c>
      <c r="B53" s="92" t="s">
        <v>6254</v>
      </c>
      <c r="C53" s="92" t="s">
        <v>6255</v>
      </c>
      <c r="D53" s="92" t="s">
        <v>1917</v>
      </c>
      <c r="E53" s="92" t="s">
        <v>4439</v>
      </c>
    </row>
    <row r="54" spans="1:5" x14ac:dyDescent="0.25">
      <c r="A54" s="92" t="s">
        <v>4433</v>
      </c>
      <c r="B54" s="92" t="s">
        <v>6256</v>
      </c>
      <c r="C54" s="92" t="s">
        <v>6257</v>
      </c>
      <c r="D54" s="92" t="s">
        <v>1917</v>
      </c>
      <c r="E54" s="92" t="s">
        <v>4439</v>
      </c>
    </row>
    <row r="55" spans="1:5" x14ac:dyDescent="0.25">
      <c r="A55" s="92" t="s">
        <v>4433</v>
      </c>
      <c r="B55" s="92" t="s">
        <v>6258</v>
      </c>
      <c r="C55" s="92" t="s">
        <v>6259</v>
      </c>
      <c r="D55" s="92" t="s">
        <v>1917</v>
      </c>
      <c r="E55" s="92" t="s">
        <v>4439</v>
      </c>
    </row>
    <row r="56" spans="1:5" ht="30" x14ac:dyDescent="0.25">
      <c r="A56" s="92" t="s">
        <v>4433</v>
      </c>
      <c r="B56" s="92" t="s">
        <v>6260</v>
      </c>
      <c r="C56" s="92" t="s">
        <v>6261</v>
      </c>
      <c r="D56" s="92" t="s">
        <v>1917</v>
      </c>
      <c r="E56" s="92" t="s">
        <v>4439</v>
      </c>
    </row>
    <row r="57" spans="1:5" x14ac:dyDescent="0.25">
      <c r="A57" s="92" t="s">
        <v>4433</v>
      </c>
      <c r="B57" s="92" t="s">
        <v>6262</v>
      </c>
      <c r="C57" s="92" t="s">
        <v>6263</v>
      </c>
      <c r="D57" s="92" t="s">
        <v>1917</v>
      </c>
      <c r="E57" s="92" t="s">
        <v>4439</v>
      </c>
    </row>
    <row r="58" spans="1:5" x14ac:dyDescent="0.25">
      <c r="A58" s="92" t="s">
        <v>4433</v>
      </c>
      <c r="B58" s="92" t="s">
        <v>6264</v>
      </c>
      <c r="C58" s="92" t="s">
        <v>6265</v>
      </c>
      <c r="D58" s="92" t="s">
        <v>1917</v>
      </c>
      <c r="E58" s="92" t="s">
        <v>4439</v>
      </c>
    </row>
    <row r="59" spans="1:5" x14ac:dyDescent="0.25">
      <c r="A59" s="92" t="s">
        <v>4433</v>
      </c>
      <c r="B59" s="92" t="s">
        <v>6266</v>
      </c>
      <c r="C59" s="92" t="s">
        <v>6267</v>
      </c>
      <c r="D59" s="92" t="s">
        <v>1917</v>
      </c>
      <c r="E59" s="92" t="s">
        <v>4439</v>
      </c>
    </row>
    <row r="60" spans="1:5" ht="30" x14ac:dyDescent="0.25">
      <c r="A60" s="92" t="s">
        <v>4433</v>
      </c>
      <c r="B60" s="92" t="s">
        <v>6268</v>
      </c>
      <c r="C60" s="92" t="s">
        <v>6269</v>
      </c>
      <c r="D60" s="92" t="s">
        <v>1917</v>
      </c>
      <c r="E60" s="92" t="s">
        <v>4439</v>
      </c>
    </row>
    <row r="61" spans="1:5" x14ac:dyDescent="0.25">
      <c r="A61" s="92" t="s">
        <v>4433</v>
      </c>
      <c r="B61" s="92" t="s">
        <v>6270</v>
      </c>
      <c r="C61" s="92" t="s">
        <v>6271</v>
      </c>
      <c r="D61" s="92" t="s">
        <v>1917</v>
      </c>
      <c r="E61" s="92" t="s">
        <v>4439</v>
      </c>
    </row>
    <row r="62" spans="1:5" x14ac:dyDescent="0.25">
      <c r="A62" s="92" t="s">
        <v>4433</v>
      </c>
      <c r="B62" s="92" t="s">
        <v>6272</v>
      </c>
      <c r="C62" s="92" t="s">
        <v>6273</v>
      </c>
      <c r="D62" s="92" t="s">
        <v>1917</v>
      </c>
      <c r="E62" s="92" t="s">
        <v>4439</v>
      </c>
    </row>
    <row r="63" spans="1:5" x14ac:dyDescent="0.25">
      <c r="A63" s="92" t="s">
        <v>4433</v>
      </c>
      <c r="B63" s="92" t="s">
        <v>6274</v>
      </c>
      <c r="C63" s="92" t="s">
        <v>6275</v>
      </c>
      <c r="D63" s="92" t="s">
        <v>1877</v>
      </c>
      <c r="E63" s="92" t="s">
        <v>4439</v>
      </c>
    </row>
    <row r="64" spans="1:5" x14ac:dyDescent="0.25">
      <c r="A64" s="92" t="s">
        <v>4433</v>
      </c>
      <c r="B64" s="92" t="s">
        <v>6276</v>
      </c>
      <c r="C64" s="92" t="s">
        <v>6277</v>
      </c>
      <c r="D64" s="92" t="s">
        <v>1917</v>
      </c>
      <c r="E64" s="92" t="s">
        <v>4442</v>
      </c>
    </row>
    <row r="65" spans="1:5" x14ac:dyDescent="0.25">
      <c r="A65" s="92" t="s">
        <v>4433</v>
      </c>
      <c r="B65" s="92" t="s">
        <v>6278</v>
      </c>
      <c r="C65" s="92" t="s">
        <v>6279</v>
      </c>
      <c r="D65" s="92" t="s">
        <v>1917</v>
      </c>
      <c r="E65" s="92" t="s">
        <v>4442</v>
      </c>
    </row>
    <row r="66" spans="1:5" x14ac:dyDescent="0.25">
      <c r="A66" s="92" t="s">
        <v>4433</v>
      </c>
      <c r="B66" s="92" t="s">
        <v>6280</v>
      </c>
      <c r="C66" s="92" t="s">
        <v>2773</v>
      </c>
      <c r="D66" s="92" t="s">
        <v>1917</v>
      </c>
      <c r="E66" s="92" t="s">
        <v>4442</v>
      </c>
    </row>
    <row r="67" spans="1:5" x14ac:dyDescent="0.25">
      <c r="A67" s="92" t="s">
        <v>4433</v>
      </c>
      <c r="B67" s="92" t="s">
        <v>6281</v>
      </c>
      <c r="C67" s="92" t="s">
        <v>6282</v>
      </c>
      <c r="D67" s="92" t="s">
        <v>1917</v>
      </c>
      <c r="E67" s="92" t="s">
        <v>4436</v>
      </c>
    </row>
    <row r="68" spans="1:5" x14ac:dyDescent="0.25">
      <c r="A68" s="92" t="s">
        <v>4433</v>
      </c>
      <c r="B68" s="92" t="s">
        <v>6283</v>
      </c>
      <c r="C68" s="92" t="s">
        <v>6284</v>
      </c>
      <c r="D68" s="92" t="s">
        <v>1917</v>
      </c>
      <c r="E68" s="92" t="s">
        <v>4442</v>
      </c>
    </row>
    <row r="69" spans="1:5" x14ac:dyDescent="0.25">
      <c r="A69" s="92" t="s">
        <v>4433</v>
      </c>
      <c r="B69" s="92" t="s">
        <v>6285</v>
      </c>
      <c r="C69" s="92" t="s">
        <v>6286</v>
      </c>
      <c r="D69" s="92" t="s">
        <v>1917</v>
      </c>
      <c r="E69" s="92" t="s">
        <v>4436</v>
      </c>
    </row>
    <row r="70" spans="1:5" x14ac:dyDescent="0.25">
      <c r="A70" s="92" t="s">
        <v>4433</v>
      </c>
      <c r="B70" s="92" t="s">
        <v>6287</v>
      </c>
      <c r="C70" s="92" t="s">
        <v>6288</v>
      </c>
      <c r="D70" s="92" t="s">
        <v>1917</v>
      </c>
      <c r="E70" s="92" t="s">
        <v>4436</v>
      </c>
    </row>
    <row r="71" spans="1:5" x14ac:dyDescent="0.25">
      <c r="A71" s="92" t="s">
        <v>4433</v>
      </c>
      <c r="B71" s="92" t="s">
        <v>6289</v>
      </c>
      <c r="C71" s="92" t="s">
        <v>6290</v>
      </c>
      <c r="D71" s="92" t="s">
        <v>1917</v>
      </c>
      <c r="E71" s="92" t="s">
        <v>4499</v>
      </c>
    </row>
    <row r="72" spans="1:5" x14ac:dyDescent="0.25">
      <c r="A72" s="92" t="s">
        <v>4433</v>
      </c>
      <c r="B72" s="92" t="s">
        <v>6291</v>
      </c>
      <c r="C72" s="92" t="s">
        <v>6292</v>
      </c>
      <c r="D72" s="92" t="s">
        <v>1877</v>
      </c>
      <c r="E72" s="92" t="s">
        <v>4436</v>
      </c>
    </row>
    <row r="73" spans="1:5" x14ac:dyDescent="0.25">
      <c r="A73" s="92" t="s">
        <v>4433</v>
      </c>
      <c r="B73" s="92" t="s">
        <v>6293</v>
      </c>
      <c r="C73" s="92" t="s">
        <v>5056</v>
      </c>
      <c r="D73" s="92" t="s">
        <v>1877</v>
      </c>
      <c r="E73" s="92" t="s">
        <v>4442</v>
      </c>
    </row>
    <row r="74" spans="1:5" x14ac:dyDescent="0.25">
      <c r="A74" s="92" t="s">
        <v>4433</v>
      </c>
      <c r="B74" s="92" t="s">
        <v>6294</v>
      </c>
      <c r="C74" s="92" t="s">
        <v>6295</v>
      </c>
      <c r="D74" s="92" t="s">
        <v>1877</v>
      </c>
      <c r="E74" s="92" t="s">
        <v>4436</v>
      </c>
    </row>
    <row r="75" spans="1:5" x14ac:dyDescent="0.25">
      <c r="A75" s="92" t="s">
        <v>4433</v>
      </c>
      <c r="B75" s="92" t="s">
        <v>6296</v>
      </c>
      <c r="C75" s="92" t="s">
        <v>6041</v>
      </c>
      <c r="D75" s="92" t="s">
        <v>1877</v>
      </c>
      <c r="E75" s="92" t="s">
        <v>4442</v>
      </c>
    </row>
    <row r="76" spans="1:5" x14ac:dyDescent="0.25">
      <c r="A76" s="92" t="s">
        <v>4433</v>
      </c>
      <c r="B76" s="92" t="s">
        <v>6297</v>
      </c>
      <c r="C76" s="92" t="s">
        <v>6255</v>
      </c>
      <c r="D76" s="92" t="s">
        <v>1917</v>
      </c>
      <c r="E76" s="92" t="s">
        <v>4439</v>
      </c>
    </row>
    <row r="77" spans="1:5" x14ac:dyDescent="0.25">
      <c r="A77" s="92" t="s">
        <v>4433</v>
      </c>
      <c r="B77" s="92" t="s">
        <v>6298</v>
      </c>
      <c r="C77" s="92" t="s">
        <v>6257</v>
      </c>
      <c r="D77" s="92" t="s">
        <v>1917</v>
      </c>
      <c r="E77" s="92" t="s">
        <v>4439</v>
      </c>
    </row>
    <row r="78" spans="1:5" x14ac:dyDescent="0.25">
      <c r="A78" s="92" t="s">
        <v>4433</v>
      </c>
      <c r="B78" s="92" t="s">
        <v>6299</v>
      </c>
      <c r="C78" s="92" t="s">
        <v>6263</v>
      </c>
      <c r="D78" s="92" t="s">
        <v>1917</v>
      </c>
      <c r="E78" s="92" t="s">
        <v>4439</v>
      </c>
    </row>
    <row r="79" spans="1:5" x14ac:dyDescent="0.25">
      <c r="A79" s="92" t="s">
        <v>4433</v>
      </c>
      <c r="B79" s="92" t="s">
        <v>6300</v>
      </c>
      <c r="C79" s="92" t="s">
        <v>3200</v>
      </c>
      <c r="D79" s="92" t="s">
        <v>1917</v>
      </c>
      <c r="E79" s="92" t="s">
        <v>4442</v>
      </c>
    </row>
    <row r="80" spans="1:5" x14ac:dyDescent="0.25">
      <c r="A80" s="92" t="s">
        <v>4433</v>
      </c>
      <c r="B80" s="92" t="s">
        <v>6301</v>
      </c>
      <c r="C80" s="92" t="s">
        <v>3202</v>
      </c>
      <c r="D80" s="92" t="s">
        <v>1917</v>
      </c>
      <c r="E80" s="92" t="s">
        <v>4442</v>
      </c>
    </row>
    <row r="81" spans="1:5" x14ac:dyDescent="0.25">
      <c r="A81" s="92" t="s">
        <v>4433</v>
      </c>
      <c r="B81" s="92" t="s">
        <v>6302</v>
      </c>
      <c r="C81" s="92" t="s">
        <v>6303</v>
      </c>
      <c r="D81" s="92" t="s">
        <v>1917</v>
      </c>
      <c r="E81" s="92" t="s">
        <v>4442</v>
      </c>
    </row>
    <row r="82" spans="1:5" x14ac:dyDescent="0.25">
      <c r="A82" s="92" t="s">
        <v>4433</v>
      </c>
      <c r="B82" s="92" t="s">
        <v>6304</v>
      </c>
      <c r="C82" s="92" t="s">
        <v>6305</v>
      </c>
      <c r="D82" s="92" t="s">
        <v>1917</v>
      </c>
      <c r="E82" s="92" t="s">
        <v>4442</v>
      </c>
    </row>
    <row r="83" spans="1:5" x14ac:dyDescent="0.25">
      <c r="A83" s="92" t="s">
        <v>4433</v>
      </c>
      <c r="B83" s="92" t="s">
        <v>6306</v>
      </c>
      <c r="C83" s="92" t="s">
        <v>6307</v>
      </c>
      <c r="D83" s="92" t="s">
        <v>1917</v>
      </c>
      <c r="E83" s="92" t="s">
        <v>4442</v>
      </c>
    </row>
    <row r="84" spans="1:5" x14ac:dyDescent="0.25">
      <c r="A84" s="92" t="s">
        <v>4433</v>
      </c>
      <c r="B84" s="92" t="s">
        <v>6308</v>
      </c>
      <c r="C84" s="92" t="s">
        <v>6309</v>
      </c>
      <c r="D84" s="92" t="s">
        <v>1917</v>
      </c>
      <c r="E84" s="92" t="s">
        <v>4442</v>
      </c>
    </row>
    <row r="85" spans="1:5" x14ac:dyDescent="0.25">
      <c r="A85" s="92" t="s">
        <v>4433</v>
      </c>
      <c r="B85" s="92" t="s">
        <v>6310</v>
      </c>
      <c r="C85" s="92" t="s">
        <v>6311</v>
      </c>
      <c r="D85" s="92" t="s">
        <v>1917</v>
      </c>
      <c r="E85" s="92" t="s">
        <v>4442</v>
      </c>
    </row>
    <row r="86" spans="1:5" x14ac:dyDescent="0.25">
      <c r="C86" s="93"/>
      <c r="D86" s="92"/>
    </row>
    <row r="87" spans="1:5" x14ac:dyDescent="0.25">
      <c r="C87" s="93"/>
      <c r="D87" s="93"/>
    </row>
    <row r="88" spans="1:5" x14ac:dyDescent="0.25">
      <c r="A88" s="94" t="s">
        <v>1502</v>
      </c>
    </row>
    <row r="89" spans="1:5" x14ac:dyDescent="0.25">
      <c r="A89" s="94"/>
    </row>
    <row r="90" spans="1:5" x14ac:dyDescent="0.25">
      <c r="A90" s="21" t="s">
        <v>6312</v>
      </c>
    </row>
    <row r="92" spans="1:5" x14ac:dyDescent="0.25">
      <c r="A92" s="21" t="s">
        <v>6313</v>
      </c>
    </row>
    <row r="94" spans="1:5" x14ac:dyDescent="0.25">
      <c r="A94" s="21" t="s">
        <v>6314</v>
      </c>
    </row>
    <row r="96" spans="1:5" x14ac:dyDescent="0.25">
      <c r="A96" s="95" t="s">
        <v>1503</v>
      </c>
    </row>
    <row r="98" spans="1:22" ht="324" customHeight="1" x14ac:dyDescent="0.25">
      <c r="A98" s="96" t="s">
        <v>6315</v>
      </c>
      <c r="B98" s="96"/>
    </row>
    <row r="101" spans="1:22" x14ac:dyDescent="0.25">
      <c r="A101" s="22" t="s">
        <v>1508</v>
      </c>
    </row>
    <row r="104" spans="1:22" x14ac:dyDescent="0.25">
      <c r="A104" s="21" t="s">
        <v>1509</v>
      </c>
    </row>
    <row r="108" spans="1:22" ht="15" customHeight="1" x14ac:dyDescent="0.25">
      <c r="A108" s="77" t="s">
        <v>1512</v>
      </c>
      <c r="B108" s="77"/>
      <c r="C108" s="77"/>
      <c r="D108" s="77"/>
      <c r="E108" s="77"/>
      <c r="F108" s="77"/>
      <c r="G108" s="77"/>
      <c r="H108" s="77"/>
      <c r="I108" s="77"/>
      <c r="J108" s="77"/>
      <c r="K108" s="77"/>
      <c r="L108" s="77"/>
      <c r="M108" s="77"/>
      <c r="N108" s="77"/>
      <c r="O108" s="77"/>
      <c r="P108" s="77"/>
      <c r="Q108" s="77"/>
      <c r="R108" s="77"/>
      <c r="S108" s="77"/>
      <c r="T108" s="77"/>
      <c r="U108" s="77"/>
      <c r="V108" s="77"/>
    </row>
    <row r="109" spans="1:22"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row>
    <row r="110" spans="1:22"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row>
    <row r="111" spans="1:22"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row>
    <row r="112" spans="1:22"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row>
    <row r="113" spans="1:22"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row>
    <row r="114" spans="1:22"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row>
    <row r="115" spans="1:22"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row>
  </sheetData>
  <mergeCells count="3">
    <mergeCell ref="A6:S8"/>
    <mergeCell ref="A98:B98"/>
    <mergeCell ref="A108:V115"/>
  </mergeCells>
  <pageMargins left="0.70866141732283472" right="0.70866141732283472" top="0.74803149606299213" bottom="0.74803149606299213" header="0.31496062992125984" footer="0.31496062992125984"/>
  <pageSetup paperSize="9" scale="27" orientation="landscape" r:id="rId1"/>
  <headerFooter>
    <oddFooter>&amp;C_x000D_&amp;1#&amp;"Calibri"&amp;10&amp;K000000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W208"/>
  <sheetViews>
    <sheetView topLeftCell="A4" zoomScale="98" zoomScaleNormal="98" workbookViewId="0">
      <selection activeCell="I183" sqref="I183"/>
    </sheetView>
  </sheetViews>
  <sheetFormatPr defaultColWidth="15.5703125" defaultRowHeight="15" x14ac:dyDescent="0.25"/>
  <cols>
    <col min="1" max="1" width="40.5703125" style="1" customWidth="1"/>
    <col min="2" max="2" width="60.5703125" style="1" customWidth="1"/>
    <col min="3" max="3" width="15.5703125" style="1" customWidth="1"/>
    <col min="4" max="4" width="17.5703125" style="1" customWidth="1"/>
    <col min="5" max="6" width="15.5703125" style="1" customWidth="1"/>
    <col min="7" max="7" width="13.28515625" style="1" customWidth="1"/>
    <col min="8" max="8" width="9.28515625" style="1" customWidth="1"/>
    <col min="9" max="12" width="15.5703125" style="1" customWidth="1"/>
    <col min="13" max="16384" width="15.5703125" style="1"/>
  </cols>
  <sheetData>
    <row r="5" spans="1:23" ht="15.75" thickBot="1" x14ac:dyDescent="0.3"/>
    <row r="6" spans="1:23" ht="15" customHeight="1" thickTop="1" x14ac:dyDescent="0.25">
      <c r="A6" s="48" t="s">
        <v>0</v>
      </c>
      <c r="B6" s="49"/>
      <c r="C6" s="49"/>
      <c r="D6" s="49"/>
      <c r="E6" s="49"/>
      <c r="F6" s="49"/>
      <c r="G6" s="49"/>
      <c r="H6" s="49"/>
      <c r="I6" s="49"/>
      <c r="J6" s="49"/>
      <c r="K6" s="49"/>
      <c r="L6" s="49"/>
      <c r="M6" s="49"/>
      <c r="N6" s="49"/>
      <c r="O6" s="49"/>
      <c r="P6" s="49"/>
      <c r="Q6" s="49"/>
      <c r="R6" s="49"/>
      <c r="S6" s="49"/>
      <c r="T6" s="49"/>
      <c r="U6" s="49"/>
      <c r="V6" s="49"/>
      <c r="W6" s="50"/>
    </row>
    <row r="7" spans="1:23" x14ac:dyDescent="0.25">
      <c r="A7" s="51"/>
      <c r="B7" s="52"/>
      <c r="C7" s="52"/>
      <c r="D7" s="52"/>
      <c r="E7" s="52"/>
      <c r="F7" s="52"/>
      <c r="G7" s="52"/>
      <c r="H7" s="52"/>
      <c r="I7" s="52"/>
      <c r="J7" s="52"/>
      <c r="K7" s="52"/>
      <c r="L7" s="52"/>
      <c r="M7" s="52"/>
      <c r="N7" s="52"/>
      <c r="O7" s="52"/>
      <c r="P7" s="52"/>
      <c r="Q7" s="52"/>
      <c r="R7" s="52"/>
      <c r="S7" s="52"/>
      <c r="T7" s="52"/>
      <c r="U7" s="52"/>
      <c r="V7" s="52"/>
      <c r="W7" s="53"/>
    </row>
    <row r="8" spans="1:23" ht="15.75" thickBot="1" x14ac:dyDescent="0.3">
      <c r="A8" s="54"/>
      <c r="B8" s="55"/>
      <c r="C8" s="55"/>
      <c r="D8" s="55"/>
      <c r="E8" s="55"/>
      <c r="F8" s="55"/>
      <c r="G8" s="55"/>
      <c r="H8" s="55"/>
      <c r="I8" s="55"/>
      <c r="J8" s="55"/>
      <c r="K8" s="55"/>
      <c r="L8" s="55"/>
      <c r="M8" s="55"/>
      <c r="N8" s="55"/>
      <c r="O8" s="55"/>
      <c r="P8" s="55"/>
      <c r="Q8" s="55"/>
      <c r="R8" s="55"/>
      <c r="S8" s="55"/>
      <c r="T8" s="55"/>
      <c r="U8" s="55"/>
      <c r="V8" s="55"/>
      <c r="W8" s="56"/>
    </row>
    <row r="9" spans="1:23" ht="15.75" thickTop="1" x14ac:dyDescent="0.25"/>
    <row r="10" spans="1:23" ht="23.25" x14ac:dyDescent="0.35">
      <c r="A10" s="2" t="s">
        <v>1513</v>
      </c>
    </row>
    <row r="11" spans="1:23" ht="15.75" x14ac:dyDescent="0.25">
      <c r="A11" s="3" t="str">
        <f>'Managed Funds'!A11</f>
        <v>As at 08 September 2025</v>
      </c>
    </row>
    <row r="13" spans="1:23" ht="64.5" customHeight="1" x14ac:dyDescent="0.25">
      <c r="A13" s="12" t="s">
        <v>3</v>
      </c>
      <c r="B13" s="12" t="s">
        <v>1514</v>
      </c>
      <c r="C13" s="12" t="s">
        <v>1515</v>
      </c>
      <c r="D13" s="12" t="s">
        <v>1516</v>
      </c>
      <c r="E13" s="12" t="s">
        <v>8</v>
      </c>
      <c r="F13" s="12" t="s">
        <v>9</v>
      </c>
      <c r="G13" s="17" t="s">
        <v>1517</v>
      </c>
    </row>
    <row r="14" spans="1:23" x14ac:dyDescent="0.25">
      <c r="A14" s="28" t="s">
        <v>109</v>
      </c>
      <c r="B14" s="28" t="s">
        <v>1518</v>
      </c>
      <c r="C14" s="28" t="s">
        <v>1519</v>
      </c>
      <c r="D14" s="28"/>
      <c r="E14" s="28" t="s">
        <v>24</v>
      </c>
      <c r="F14" s="28" t="s">
        <v>24</v>
      </c>
      <c r="G14" s="24">
        <v>100</v>
      </c>
    </row>
    <row r="15" spans="1:23" x14ac:dyDescent="0.25">
      <c r="A15" s="28" t="s">
        <v>31</v>
      </c>
      <c r="B15" s="28" t="s">
        <v>1520</v>
      </c>
      <c r="C15" s="28" t="s">
        <v>1521</v>
      </c>
      <c r="D15" s="28"/>
      <c r="E15" s="28" t="s">
        <v>24</v>
      </c>
      <c r="F15" s="28" t="s">
        <v>24</v>
      </c>
      <c r="G15" s="24">
        <v>100</v>
      </c>
    </row>
    <row r="16" spans="1:23" x14ac:dyDescent="0.25">
      <c r="A16" s="28" t="s">
        <v>122</v>
      </c>
      <c r="B16" s="28" t="s">
        <v>1522</v>
      </c>
      <c r="C16" s="28" t="s">
        <v>1523</v>
      </c>
      <c r="D16" s="28"/>
      <c r="E16" s="28" t="s">
        <v>24</v>
      </c>
      <c r="F16" s="28" t="s">
        <v>24</v>
      </c>
      <c r="G16" s="24">
        <v>100</v>
      </c>
    </row>
    <row r="17" spans="1:7" x14ac:dyDescent="0.25">
      <c r="A17" s="28" t="s">
        <v>65</v>
      </c>
      <c r="B17" s="28" t="s">
        <v>1524</v>
      </c>
      <c r="C17" s="28" t="s">
        <v>1525</v>
      </c>
      <c r="D17" s="28"/>
      <c r="E17" s="28" t="s">
        <v>24</v>
      </c>
      <c r="F17" s="28" t="s">
        <v>24</v>
      </c>
      <c r="G17" s="24">
        <v>100</v>
      </c>
    </row>
    <row r="18" spans="1:7" x14ac:dyDescent="0.25">
      <c r="A18" s="28" t="s">
        <v>141</v>
      </c>
      <c r="B18" s="28" t="s">
        <v>1526</v>
      </c>
      <c r="C18" s="28" t="s">
        <v>1527</v>
      </c>
      <c r="D18" s="28"/>
      <c r="E18" s="28" t="s">
        <v>24</v>
      </c>
      <c r="F18" s="28" t="s">
        <v>24</v>
      </c>
      <c r="G18" s="24">
        <v>20</v>
      </c>
    </row>
    <row r="19" spans="1:7" x14ac:dyDescent="0.25">
      <c r="A19" s="28" t="s">
        <v>31</v>
      </c>
      <c r="B19" s="28" t="s">
        <v>1528</v>
      </c>
      <c r="C19" s="28" t="s">
        <v>1529</v>
      </c>
      <c r="D19" s="28"/>
      <c r="E19" s="28" t="s">
        <v>24</v>
      </c>
      <c r="F19" s="28" t="s">
        <v>24</v>
      </c>
      <c r="G19" s="24">
        <v>100</v>
      </c>
    </row>
    <row r="20" spans="1:7" x14ac:dyDescent="0.25">
      <c r="A20" s="28" t="s">
        <v>281</v>
      </c>
      <c r="B20" s="28" t="s">
        <v>1530</v>
      </c>
      <c r="C20" s="28" t="s">
        <v>1531</v>
      </c>
      <c r="D20" s="28"/>
      <c r="E20" s="28" t="s">
        <v>24</v>
      </c>
      <c r="F20" s="28" t="s">
        <v>24</v>
      </c>
      <c r="G20" s="24">
        <v>100</v>
      </c>
    </row>
    <row r="21" spans="1:7" x14ac:dyDescent="0.25">
      <c r="A21" s="28" t="s">
        <v>58</v>
      </c>
      <c r="B21" s="28" t="s">
        <v>1532</v>
      </c>
      <c r="C21" s="28" t="s">
        <v>1533</v>
      </c>
      <c r="D21" s="28"/>
      <c r="E21" s="28" t="s">
        <v>24</v>
      </c>
      <c r="F21" s="28" t="s">
        <v>24</v>
      </c>
      <c r="G21" s="24">
        <v>100</v>
      </c>
    </row>
    <row r="22" spans="1:7" x14ac:dyDescent="0.25">
      <c r="A22" s="28" t="s">
        <v>52</v>
      </c>
      <c r="B22" s="28" t="s">
        <v>1534</v>
      </c>
      <c r="C22" s="28" t="s">
        <v>1535</v>
      </c>
      <c r="D22" s="28"/>
      <c r="E22" s="28" t="s">
        <v>24</v>
      </c>
      <c r="F22" s="28" t="s">
        <v>24</v>
      </c>
      <c r="G22" s="24">
        <v>100</v>
      </c>
    </row>
    <row r="23" spans="1:7" x14ac:dyDescent="0.25">
      <c r="A23" s="28" t="s">
        <v>81</v>
      </c>
      <c r="B23" s="28" t="s">
        <v>1536</v>
      </c>
      <c r="C23" s="28" t="s">
        <v>1537</v>
      </c>
      <c r="D23" s="28"/>
      <c r="E23" s="28" t="s">
        <v>24</v>
      </c>
      <c r="F23" s="28" t="s">
        <v>24</v>
      </c>
      <c r="G23" s="24">
        <v>50</v>
      </c>
    </row>
    <row r="24" spans="1:7" x14ac:dyDescent="0.25">
      <c r="A24" s="28" t="s">
        <v>76</v>
      </c>
      <c r="B24" s="28" t="s">
        <v>1538</v>
      </c>
      <c r="C24" s="28" t="s">
        <v>1539</v>
      </c>
      <c r="D24" s="28"/>
      <c r="E24" s="28" t="s">
        <v>24</v>
      </c>
      <c r="F24" s="28" t="s">
        <v>24</v>
      </c>
      <c r="G24" s="24">
        <v>100</v>
      </c>
    </row>
    <row r="25" spans="1:7" x14ac:dyDescent="0.25">
      <c r="A25" s="28" t="s">
        <v>109</v>
      </c>
      <c r="B25" s="28" t="s">
        <v>1540</v>
      </c>
      <c r="C25" s="28" t="s">
        <v>1541</v>
      </c>
      <c r="D25" s="28"/>
      <c r="E25" s="28" t="s">
        <v>24</v>
      </c>
      <c r="F25" s="28" t="s">
        <v>24</v>
      </c>
      <c r="G25" s="24">
        <v>100</v>
      </c>
    </row>
    <row r="26" spans="1:7" x14ac:dyDescent="0.25">
      <c r="A26" s="28" t="s">
        <v>76</v>
      </c>
      <c r="B26" s="28" t="s">
        <v>1542</v>
      </c>
      <c r="C26" s="28" t="s">
        <v>1543</v>
      </c>
      <c r="D26" s="28"/>
      <c r="E26" s="28" t="s">
        <v>24</v>
      </c>
      <c r="F26" s="28" t="s">
        <v>24</v>
      </c>
      <c r="G26" s="24">
        <v>100</v>
      </c>
    </row>
    <row r="27" spans="1:7" x14ac:dyDescent="0.25">
      <c r="A27" s="28" t="s">
        <v>109</v>
      </c>
      <c r="B27" s="28" t="s">
        <v>1544</v>
      </c>
      <c r="C27" s="28" t="s">
        <v>1545</v>
      </c>
      <c r="D27" s="28"/>
      <c r="E27" s="28" t="s">
        <v>24</v>
      </c>
      <c r="F27" s="28" t="s">
        <v>24</v>
      </c>
      <c r="G27" s="24">
        <v>100</v>
      </c>
    </row>
    <row r="28" spans="1:7" x14ac:dyDescent="0.25">
      <c r="A28" s="28" t="s">
        <v>274</v>
      </c>
      <c r="B28" s="28" t="s">
        <v>1546</v>
      </c>
      <c r="C28" s="28" t="s">
        <v>1547</v>
      </c>
      <c r="D28" s="28"/>
      <c r="E28" s="28" t="s">
        <v>24</v>
      </c>
      <c r="F28" s="28" t="s">
        <v>24</v>
      </c>
      <c r="G28" s="24">
        <v>100</v>
      </c>
    </row>
    <row r="29" spans="1:7" x14ac:dyDescent="0.25">
      <c r="A29" s="28" t="s">
        <v>274</v>
      </c>
      <c r="B29" s="28" t="s">
        <v>1548</v>
      </c>
      <c r="C29" s="28" t="s">
        <v>1549</v>
      </c>
      <c r="D29" s="28"/>
      <c r="E29" s="28" t="s">
        <v>24</v>
      </c>
      <c r="F29" s="28" t="s">
        <v>24</v>
      </c>
      <c r="G29" s="24">
        <v>100</v>
      </c>
    </row>
    <row r="30" spans="1:7" x14ac:dyDescent="0.25">
      <c r="A30" s="28" t="s">
        <v>274</v>
      </c>
      <c r="B30" s="28" t="s">
        <v>1550</v>
      </c>
      <c r="C30" s="28" t="s">
        <v>1551</v>
      </c>
      <c r="D30" s="28"/>
      <c r="E30" s="28" t="s">
        <v>24</v>
      </c>
      <c r="F30" s="28" t="s">
        <v>24</v>
      </c>
      <c r="G30" s="24">
        <v>100</v>
      </c>
    </row>
    <row r="31" spans="1:7" x14ac:dyDescent="0.25">
      <c r="A31" s="28" t="s">
        <v>31</v>
      </c>
      <c r="B31" s="28" t="s">
        <v>1552</v>
      </c>
      <c r="C31" s="28" t="s">
        <v>1553</v>
      </c>
      <c r="D31" s="28"/>
      <c r="E31" s="28" t="s">
        <v>24</v>
      </c>
      <c r="F31" s="28" t="s">
        <v>24</v>
      </c>
      <c r="G31" s="24">
        <v>100</v>
      </c>
    </row>
    <row r="32" spans="1:7" x14ac:dyDescent="0.25">
      <c r="A32" s="28" t="s">
        <v>31</v>
      </c>
      <c r="B32" s="28" t="s">
        <v>1554</v>
      </c>
      <c r="C32" s="28" t="s">
        <v>1555</v>
      </c>
      <c r="D32" s="28"/>
      <c r="E32" s="28" t="s">
        <v>24</v>
      </c>
      <c r="F32" s="28" t="s">
        <v>24</v>
      </c>
      <c r="G32" s="24">
        <v>100</v>
      </c>
    </row>
    <row r="33" spans="1:7" x14ac:dyDescent="0.25">
      <c r="A33" s="28" t="s">
        <v>76</v>
      </c>
      <c r="B33" s="28" t="s">
        <v>1556</v>
      </c>
      <c r="C33" s="28" t="s">
        <v>1557</v>
      </c>
      <c r="D33" s="28"/>
      <c r="E33" s="28" t="s">
        <v>24</v>
      </c>
      <c r="F33" s="28" t="s">
        <v>24</v>
      </c>
      <c r="G33" s="24">
        <v>100</v>
      </c>
    </row>
    <row r="34" spans="1:7" x14ac:dyDescent="0.25">
      <c r="A34" s="28" t="s">
        <v>65</v>
      </c>
      <c r="B34" s="28" t="s">
        <v>1558</v>
      </c>
      <c r="C34" s="28" t="s">
        <v>1559</v>
      </c>
      <c r="D34" s="28"/>
      <c r="E34" s="28" t="s">
        <v>24</v>
      </c>
      <c r="F34" s="28" t="s">
        <v>24</v>
      </c>
      <c r="G34" s="24">
        <v>100</v>
      </c>
    </row>
    <row r="35" spans="1:7" x14ac:dyDescent="0.25">
      <c r="A35" s="28" t="s">
        <v>109</v>
      </c>
      <c r="B35" s="28" t="s">
        <v>1560</v>
      </c>
      <c r="C35" s="28" t="s">
        <v>1561</v>
      </c>
      <c r="D35" s="28"/>
      <c r="E35" s="28" t="s">
        <v>24</v>
      </c>
      <c r="F35" s="28" t="s">
        <v>24</v>
      </c>
      <c r="G35" s="24">
        <v>100</v>
      </c>
    </row>
    <row r="36" spans="1:7" x14ac:dyDescent="0.25">
      <c r="A36" s="28" t="s">
        <v>122</v>
      </c>
      <c r="B36" s="28" t="s">
        <v>1562</v>
      </c>
      <c r="C36" s="28" t="s">
        <v>1563</v>
      </c>
      <c r="D36" s="28"/>
      <c r="E36" s="28" t="s">
        <v>24</v>
      </c>
      <c r="F36" s="28" t="s">
        <v>24</v>
      </c>
      <c r="G36" s="24">
        <v>100</v>
      </c>
    </row>
    <row r="37" spans="1:7" x14ac:dyDescent="0.25">
      <c r="A37" s="28" t="s">
        <v>65</v>
      </c>
      <c r="B37" s="28" t="s">
        <v>1564</v>
      </c>
      <c r="C37" s="28" t="s">
        <v>1565</v>
      </c>
      <c r="D37" s="28"/>
      <c r="E37" s="28" t="s">
        <v>24</v>
      </c>
      <c r="F37" s="28" t="s">
        <v>24</v>
      </c>
      <c r="G37" s="24">
        <v>100</v>
      </c>
    </row>
    <row r="38" spans="1:7" x14ac:dyDescent="0.25">
      <c r="A38" s="28" t="s">
        <v>122</v>
      </c>
      <c r="B38" s="28" t="s">
        <v>1566</v>
      </c>
      <c r="C38" s="28" t="s">
        <v>1567</v>
      </c>
      <c r="D38" s="28"/>
      <c r="E38" s="28" t="s">
        <v>24</v>
      </c>
      <c r="F38" s="28" t="s">
        <v>24</v>
      </c>
      <c r="G38" s="24">
        <v>100</v>
      </c>
    </row>
    <row r="39" spans="1:7" x14ac:dyDescent="0.25">
      <c r="A39" s="28" t="s">
        <v>76</v>
      </c>
      <c r="B39" s="28" t="s">
        <v>1568</v>
      </c>
      <c r="C39" s="28" t="s">
        <v>1569</v>
      </c>
      <c r="D39" s="28"/>
      <c r="E39" s="28" t="s">
        <v>24</v>
      </c>
      <c r="F39" s="28" t="s">
        <v>24</v>
      </c>
      <c r="G39" s="24">
        <v>100</v>
      </c>
    </row>
    <row r="40" spans="1:7" x14ac:dyDescent="0.25">
      <c r="A40" s="28" t="s">
        <v>555</v>
      </c>
      <c r="B40" s="28" t="s">
        <v>1570</v>
      </c>
      <c r="C40" s="28" t="s">
        <v>1571</v>
      </c>
      <c r="D40" s="28"/>
      <c r="E40" s="28" t="s">
        <v>24</v>
      </c>
      <c r="F40" s="28" t="s">
        <v>24</v>
      </c>
      <c r="G40" s="24">
        <v>100</v>
      </c>
    </row>
    <row r="41" spans="1:7" x14ac:dyDescent="0.25">
      <c r="A41" s="28" t="s">
        <v>109</v>
      </c>
      <c r="B41" s="28" t="s">
        <v>1572</v>
      </c>
      <c r="C41" s="28" t="s">
        <v>1573</v>
      </c>
      <c r="D41" s="28"/>
      <c r="E41" s="28" t="s">
        <v>24</v>
      </c>
      <c r="F41" s="28" t="s">
        <v>24</v>
      </c>
      <c r="G41" s="24">
        <v>100</v>
      </c>
    </row>
    <row r="42" spans="1:7" x14ac:dyDescent="0.25">
      <c r="A42" s="28" t="s">
        <v>65</v>
      </c>
      <c r="B42" s="28" t="s">
        <v>1574</v>
      </c>
      <c r="C42" s="28" t="s">
        <v>1575</v>
      </c>
      <c r="D42" s="28"/>
      <c r="E42" s="28" t="s">
        <v>24</v>
      </c>
      <c r="F42" s="28" t="s">
        <v>24</v>
      </c>
      <c r="G42" s="24">
        <v>100</v>
      </c>
    </row>
    <row r="43" spans="1:7" x14ac:dyDescent="0.25">
      <c r="A43" s="28" t="s">
        <v>281</v>
      </c>
      <c r="B43" s="28" t="s">
        <v>1576</v>
      </c>
      <c r="C43" s="28" t="s">
        <v>1577</v>
      </c>
      <c r="D43" s="28"/>
      <c r="E43" s="28" t="s">
        <v>24</v>
      </c>
      <c r="F43" s="28" t="s">
        <v>24</v>
      </c>
      <c r="G43" s="24">
        <v>100</v>
      </c>
    </row>
    <row r="44" spans="1:7" x14ac:dyDescent="0.25">
      <c r="A44" s="28" t="s">
        <v>37</v>
      </c>
      <c r="B44" s="28" t="s">
        <v>1578</v>
      </c>
      <c r="C44" s="28" t="s">
        <v>1579</v>
      </c>
      <c r="D44" s="28"/>
      <c r="E44" s="28" t="s">
        <v>24</v>
      </c>
      <c r="F44" s="28" t="s">
        <v>24</v>
      </c>
      <c r="G44" s="24">
        <v>50</v>
      </c>
    </row>
    <row r="45" spans="1:7" x14ac:dyDescent="0.25">
      <c r="A45" s="28" t="s">
        <v>65</v>
      </c>
      <c r="B45" s="28" t="s">
        <v>1580</v>
      </c>
      <c r="C45" s="28" t="s">
        <v>1581</v>
      </c>
      <c r="D45" s="28" t="s">
        <v>1582</v>
      </c>
      <c r="E45" s="28" t="s">
        <v>24</v>
      </c>
      <c r="F45" s="28" t="s">
        <v>24</v>
      </c>
      <c r="G45" s="24">
        <v>100</v>
      </c>
    </row>
    <row r="46" spans="1:7" x14ac:dyDescent="0.25">
      <c r="A46" s="28" t="s">
        <v>76</v>
      </c>
      <c r="B46" s="28" t="s">
        <v>1583</v>
      </c>
      <c r="C46" s="28" t="s">
        <v>1584</v>
      </c>
      <c r="D46" s="28" t="s">
        <v>1582</v>
      </c>
      <c r="E46" s="28" t="s">
        <v>24</v>
      </c>
      <c r="F46" s="28" t="s">
        <v>24</v>
      </c>
      <c r="G46" s="24">
        <v>100</v>
      </c>
    </row>
    <row r="47" spans="1:7" x14ac:dyDescent="0.25">
      <c r="A47" s="28" t="s">
        <v>109</v>
      </c>
      <c r="B47" s="28" t="s">
        <v>1585</v>
      </c>
      <c r="C47" s="28" t="s">
        <v>1586</v>
      </c>
      <c r="D47" s="28" t="s">
        <v>1582</v>
      </c>
      <c r="E47" s="28" t="s">
        <v>24</v>
      </c>
      <c r="F47" s="28" t="s">
        <v>24</v>
      </c>
      <c r="G47" s="24">
        <v>100</v>
      </c>
    </row>
    <row r="48" spans="1:7" x14ac:dyDescent="0.25">
      <c r="A48" s="28" t="s">
        <v>122</v>
      </c>
      <c r="B48" s="28" t="s">
        <v>1587</v>
      </c>
      <c r="C48" s="28" t="s">
        <v>1588</v>
      </c>
      <c r="D48" s="28" t="s">
        <v>1582</v>
      </c>
      <c r="E48" s="28" t="s">
        <v>24</v>
      </c>
      <c r="F48" s="28" t="s">
        <v>24</v>
      </c>
      <c r="G48" s="24">
        <v>100</v>
      </c>
    </row>
    <row r="49" spans="1:7" x14ac:dyDescent="0.25">
      <c r="A49" s="28" t="s">
        <v>65</v>
      </c>
      <c r="B49" s="28" t="s">
        <v>1589</v>
      </c>
      <c r="C49" s="28" t="s">
        <v>1590</v>
      </c>
      <c r="D49" s="28" t="s">
        <v>1582</v>
      </c>
      <c r="E49" s="28" t="s">
        <v>24</v>
      </c>
      <c r="F49" s="28" t="s">
        <v>24</v>
      </c>
      <c r="G49" s="24">
        <v>100</v>
      </c>
    </row>
    <row r="50" spans="1:7" x14ac:dyDescent="0.25">
      <c r="A50" s="28" t="s">
        <v>76</v>
      </c>
      <c r="B50" s="28" t="s">
        <v>1591</v>
      </c>
      <c r="C50" s="28" t="s">
        <v>1592</v>
      </c>
      <c r="D50" s="28" t="s">
        <v>1582</v>
      </c>
      <c r="E50" s="28" t="s">
        <v>24</v>
      </c>
      <c r="F50" s="28" t="s">
        <v>24</v>
      </c>
      <c r="G50" s="24">
        <v>100</v>
      </c>
    </row>
    <row r="51" spans="1:7" x14ac:dyDescent="0.25">
      <c r="A51" s="28" t="s">
        <v>109</v>
      </c>
      <c r="B51" s="28" t="s">
        <v>1593</v>
      </c>
      <c r="C51" s="28" t="s">
        <v>1594</v>
      </c>
      <c r="D51" s="28" t="s">
        <v>1582</v>
      </c>
      <c r="E51" s="28" t="s">
        <v>24</v>
      </c>
      <c r="F51" s="28" t="s">
        <v>24</v>
      </c>
      <c r="G51" s="24">
        <v>100</v>
      </c>
    </row>
    <row r="52" spans="1:7" x14ac:dyDescent="0.25">
      <c r="A52" s="28" t="s">
        <v>122</v>
      </c>
      <c r="B52" s="28" t="s">
        <v>1595</v>
      </c>
      <c r="C52" s="28" t="s">
        <v>1596</v>
      </c>
      <c r="D52" s="28" t="s">
        <v>1582</v>
      </c>
      <c r="E52" s="28" t="s">
        <v>24</v>
      </c>
      <c r="F52" s="28" t="s">
        <v>24</v>
      </c>
      <c r="G52" s="24">
        <v>100</v>
      </c>
    </row>
    <row r="53" spans="1:7" x14ac:dyDescent="0.25">
      <c r="A53" s="28" t="s">
        <v>122</v>
      </c>
      <c r="B53" s="28" t="s">
        <v>1597</v>
      </c>
      <c r="C53" s="28" t="s">
        <v>1598</v>
      </c>
      <c r="D53" s="28" t="s">
        <v>1582</v>
      </c>
      <c r="E53" s="28" t="s">
        <v>24</v>
      </c>
      <c r="F53" s="28" t="s">
        <v>24</v>
      </c>
      <c r="G53" s="24">
        <v>100</v>
      </c>
    </row>
    <row r="54" spans="1:7" x14ac:dyDescent="0.25">
      <c r="A54" s="28" t="s">
        <v>65</v>
      </c>
      <c r="B54" s="28" t="s">
        <v>1599</v>
      </c>
      <c r="C54" s="28" t="s">
        <v>1600</v>
      </c>
      <c r="D54" s="28" t="s">
        <v>1582</v>
      </c>
      <c r="E54" s="28" t="s">
        <v>24</v>
      </c>
      <c r="F54" s="28" t="s">
        <v>24</v>
      </c>
      <c r="G54" s="24">
        <v>100</v>
      </c>
    </row>
    <row r="55" spans="1:7" x14ac:dyDescent="0.25">
      <c r="A55" s="28" t="s">
        <v>76</v>
      </c>
      <c r="B55" s="28" t="s">
        <v>1601</v>
      </c>
      <c r="C55" s="28" t="s">
        <v>1602</v>
      </c>
      <c r="D55" s="28" t="s">
        <v>1582</v>
      </c>
      <c r="E55" s="28" t="s">
        <v>24</v>
      </c>
      <c r="F55" s="28" t="s">
        <v>24</v>
      </c>
      <c r="G55" s="24">
        <v>100</v>
      </c>
    </row>
    <row r="56" spans="1:7" x14ac:dyDescent="0.25">
      <c r="A56" s="28" t="s">
        <v>109</v>
      </c>
      <c r="B56" s="28" t="s">
        <v>1603</v>
      </c>
      <c r="C56" s="28" t="s">
        <v>1604</v>
      </c>
      <c r="D56" s="28" t="s">
        <v>1582</v>
      </c>
      <c r="E56" s="28" t="s">
        <v>24</v>
      </c>
      <c r="F56" s="28" t="s">
        <v>24</v>
      </c>
      <c r="G56" s="24">
        <v>100</v>
      </c>
    </row>
    <row r="57" spans="1:7" x14ac:dyDescent="0.25">
      <c r="A57" s="28" t="s">
        <v>109</v>
      </c>
      <c r="B57" s="28" t="s">
        <v>1605</v>
      </c>
      <c r="C57" s="28" t="s">
        <v>1606</v>
      </c>
      <c r="D57" s="28" t="s">
        <v>1582</v>
      </c>
      <c r="E57" s="28" t="s">
        <v>24</v>
      </c>
      <c r="F57" s="28" t="s">
        <v>24</v>
      </c>
      <c r="G57" s="24">
        <v>100</v>
      </c>
    </row>
    <row r="58" spans="1:7" x14ac:dyDescent="0.25">
      <c r="A58" s="28" t="s">
        <v>122</v>
      </c>
      <c r="B58" s="28" t="s">
        <v>1607</v>
      </c>
      <c r="C58" s="28" t="s">
        <v>1608</v>
      </c>
      <c r="D58" s="28" t="s">
        <v>1582</v>
      </c>
      <c r="E58" s="28" t="s">
        <v>24</v>
      </c>
      <c r="F58" s="28" t="s">
        <v>24</v>
      </c>
      <c r="G58" s="24">
        <v>100</v>
      </c>
    </row>
    <row r="59" spans="1:7" x14ac:dyDescent="0.25">
      <c r="A59" s="28" t="s">
        <v>37</v>
      </c>
      <c r="B59" s="28" t="s">
        <v>1609</v>
      </c>
      <c r="C59" s="28" t="s">
        <v>1610</v>
      </c>
      <c r="D59" s="28"/>
      <c r="E59" s="28" t="s">
        <v>24</v>
      </c>
      <c r="F59" s="28" t="s">
        <v>24</v>
      </c>
      <c r="G59" s="24">
        <v>50</v>
      </c>
    </row>
    <row r="60" spans="1:7" x14ac:dyDescent="0.25">
      <c r="A60" s="28" t="s">
        <v>31</v>
      </c>
      <c r="B60" s="28" t="s">
        <v>1611</v>
      </c>
      <c r="C60" s="28" t="s">
        <v>1612</v>
      </c>
      <c r="D60" s="28"/>
      <c r="E60" s="28" t="s">
        <v>24</v>
      </c>
      <c r="F60" s="28" t="s">
        <v>24</v>
      </c>
      <c r="G60" s="24">
        <v>100</v>
      </c>
    </row>
    <row r="61" spans="1:7" x14ac:dyDescent="0.25">
      <c r="A61" s="28" t="s">
        <v>31</v>
      </c>
      <c r="B61" s="28" t="s">
        <v>1613</v>
      </c>
      <c r="C61" s="28" t="s">
        <v>1614</v>
      </c>
      <c r="D61" s="28"/>
      <c r="E61" s="28" t="s">
        <v>24</v>
      </c>
      <c r="F61" s="28" t="s">
        <v>24</v>
      </c>
      <c r="G61" s="24">
        <v>100</v>
      </c>
    </row>
    <row r="62" spans="1:7" x14ac:dyDescent="0.25">
      <c r="A62" s="28" t="s">
        <v>31</v>
      </c>
      <c r="B62" s="28" t="s">
        <v>1615</v>
      </c>
      <c r="C62" s="28" t="s">
        <v>1616</v>
      </c>
      <c r="D62" s="28"/>
      <c r="E62" s="28" t="s">
        <v>24</v>
      </c>
      <c r="F62" s="28" t="s">
        <v>24</v>
      </c>
      <c r="G62" s="24">
        <v>100</v>
      </c>
    </row>
    <row r="63" spans="1:7" x14ac:dyDescent="0.25">
      <c r="A63" s="28" t="s">
        <v>122</v>
      </c>
      <c r="B63" s="28" t="s">
        <v>1617</v>
      </c>
      <c r="C63" s="28" t="s">
        <v>1618</v>
      </c>
      <c r="D63" s="28"/>
      <c r="E63" s="28" t="s">
        <v>24</v>
      </c>
      <c r="F63" s="28" t="s">
        <v>24</v>
      </c>
      <c r="G63" s="24">
        <v>100</v>
      </c>
    </row>
    <row r="64" spans="1:7" x14ac:dyDescent="0.25">
      <c r="A64" s="28" t="s">
        <v>76</v>
      </c>
      <c r="B64" s="28" t="s">
        <v>1619</v>
      </c>
      <c r="C64" s="28" t="s">
        <v>1620</v>
      </c>
      <c r="D64" s="28" t="s">
        <v>1582</v>
      </c>
      <c r="E64" s="28" t="s">
        <v>24</v>
      </c>
      <c r="F64" s="28" t="s">
        <v>24</v>
      </c>
      <c r="G64" s="24">
        <v>100</v>
      </c>
    </row>
    <row r="65" spans="1:7" x14ac:dyDescent="0.25">
      <c r="A65" s="28" t="s">
        <v>65</v>
      </c>
      <c r="B65" s="28" t="s">
        <v>1621</v>
      </c>
      <c r="C65" s="28" t="s">
        <v>1622</v>
      </c>
      <c r="D65" s="28" t="s">
        <v>1582</v>
      </c>
      <c r="E65" s="28" t="s">
        <v>24</v>
      </c>
      <c r="F65" s="28" t="s">
        <v>24</v>
      </c>
      <c r="G65" s="24">
        <v>100</v>
      </c>
    </row>
    <row r="66" spans="1:7" x14ac:dyDescent="0.25">
      <c r="A66" s="28" t="s">
        <v>274</v>
      </c>
      <c r="B66" s="28" t="s">
        <v>1623</v>
      </c>
      <c r="C66" s="28" t="s">
        <v>1624</v>
      </c>
      <c r="D66" s="28"/>
      <c r="E66" s="28" t="s">
        <v>24</v>
      </c>
      <c r="F66" s="28" t="s">
        <v>24</v>
      </c>
      <c r="G66" s="24">
        <v>100</v>
      </c>
    </row>
    <row r="67" spans="1:7" x14ac:dyDescent="0.25">
      <c r="A67" s="28" t="s">
        <v>109</v>
      </c>
      <c r="B67" s="28" t="s">
        <v>1625</v>
      </c>
      <c r="C67" s="28" t="s">
        <v>1626</v>
      </c>
      <c r="D67" s="28" t="s">
        <v>1582</v>
      </c>
      <c r="E67" s="28" t="s">
        <v>24</v>
      </c>
      <c r="F67" s="28" t="s">
        <v>24</v>
      </c>
      <c r="G67" s="24">
        <v>100</v>
      </c>
    </row>
    <row r="68" spans="1:7" x14ac:dyDescent="0.25">
      <c r="A68" s="28" t="s">
        <v>122</v>
      </c>
      <c r="B68" s="28" t="s">
        <v>1627</v>
      </c>
      <c r="C68" s="28" t="s">
        <v>1628</v>
      </c>
      <c r="D68" s="28" t="s">
        <v>1582</v>
      </c>
      <c r="E68" s="28" t="s">
        <v>24</v>
      </c>
      <c r="F68" s="28" t="s">
        <v>24</v>
      </c>
      <c r="G68" s="24">
        <v>100</v>
      </c>
    </row>
    <row r="69" spans="1:7" x14ac:dyDescent="0.25">
      <c r="A69" s="28" t="s">
        <v>76</v>
      </c>
      <c r="B69" s="28" t="s">
        <v>1629</v>
      </c>
      <c r="C69" s="28" t="s">
        <v>1630</v>
      </c>
      <c r="D69" s="28" t="s">
        <v>1582</v>
      </c>
      <c r="E69" s="28" t="s">
        <v>24</v>
      </c>
      <c r="F69" s="28" t="s">
        <v>24</v>
      </c>
      <c r="G69" s="24">
        <v>100</v>
      </c>
    </row>
    <row r="70" spans="1:7" x14ac:dyDescent="0.25">
      <c r="A70" s="28" t="s">
        <v>65</v>
      </c>
      <c r="B70" s="28" t="s">
        <v>1631</v>
      </c>
      <c r="C70" s="28" t="s">
        <v>1632</v>
      </c>
      <c r="D70" s="28"/>
      <c r="E70" s="28" t="s">
        <v>24</v>
      </c>
      <c r="F70" s="28" t="s">
        <v>24</v>
      </c>
      <c r="G70" s="24">
        <v>100</v>
      </c>
    </row>
    <row r="71" spans="1:7" x14ac:dyDescent="0.25">
      <c r="A71" s="28" t="s">
        <v>76</v>
      </c>
      <c r="B71" s="28" t="s">
        <v>1633</v>
      </c>
      <c r="C71" s="28" t="s">
        <v>1634</v>
      </c>
      <c r="D71" s="28"/>
      <c r="E71" s="28" t="s">
        <v>24</v>
      </c>
      <c r="F71" s="28" t="s">
        <v>24</v>
      </c>
      <c r="G71" s="24">
        <v>100</v>
      </c>
    </row>
    <row r="72" spans="1:7" x14ac:dyDescent="0.25">
      <c r="A72" s="28" t="s">
        <v>76</v>
      </c>
      <c r="B72" s="28" t="s">
        <v>1635</v>
      </c>
      <c r="C72" s="28" t="s">
        <v>1636</v>
      </c>
      <c r="D72" s="28"/>
      <c r="E72" s="28" t="s">
        <v>24</v>
      </c>
      <c r="F72" s="28" t="s">
        <v>24</v>
      </c>
      <c r="G72" s="24">
        <v>100</v>
      </c>
    </row>
    <row r="73" spans="1:7" x14ac:dyDescent="0.25">
      <c r="A73" s="28" t="s">
        <v>109</v>
      </c>
      <c r="B73" s="28" t="s">
        <v>1637</v>
      </c>
      <c r="C73" s="28" t="s">
        <v>1638</v>
      </c>
      <c r="D73" s="28"/>
      <c r="E73" s="28" t="s">
        <v>24</v>
      </c>
      <c r="F73" s="28" t="s">
        <v>24</v>
      </c>
      <c r="G73" s="24">
        <v>100</v>
      </c>
    </row>
    <row r="74" spans="1:7" x14ac:dyDescent="0.25">
      <c r="A74" s="28" t="s">
        <v>109</v>
      </c>
      <c r="B74" s="28" t="s">
        <v>1639</v>
      </c>
      <c r="C74" s="28" t="s">
        <v>1640</v>
      </c>
      <c r="D74" s="28"/>
      <c r="E74" s="28" t="s">
        <v>24</v>
      </c>
      <c r="F74" s="28" t="s">
        <v>24</v>
      </c>
      <c r="G74" s="24">
        <v>100</v>
      </c>
    </row>
    <row r="75" spans="1:7" x14ac:dyDescent="0.25">
      <c r="A75" s="28" t="s">
        <v>122</v>
      </c>
      <c r="B75" s="28" t="s">
        <v>1641</v>
      </c>
      <c r="C75" s="28" t="s">
        <v>1642</v>
      </c>
      <c r="D75" s="28"/>
      <c r="E75" s="28" t="s">
        <v>24</v>
      </c>
      <c r="F75" s="28" t="s">
        <v>24</v>
      </c>
      <c r="G75" s="24">
        <v>100</v>
      </c>
    </row>
    <row r="76" spans="1:7" x14ac:dyDescent="0.25">
      <c r="A76" s="28" t="s">
        <v>122</v>
      </c>
      <c r="B76" s="28" t="s">
        <v>1643</v>
      </c>
      <c r="C76" s="28" t="s">
        <v>1644</v>
      </c>
      <c r="D76" s="28"/>
      <c r="E76" s="28" t="s">
        <v>24</v>
      </c>
      <c r="F76" s="28" t="s">
        <v>24</v>
      </c>
      <c r="G76" s="24">
        <v>100</v>
      </c>
    </row>
    <row r="77" spans="1:7" x14ac:dyDescent="0.25">
      <c r="A77" s="28" t="s">
        <v>31</v>
      </c>
      <c r="B77" s="28" t="s">
        <v>1645</v>
      </c>
      <c r="C77" s="28" t="s">
        <v>1646</v>
      </c>
      <c r="D77" s="28"/>
      <c r="E77" s="28" t="s">
        <v>24</v>
      </c>
      <c r="F77" s="28" t="s">
        <v>24</v>
      </c>
      <c r="G77" s="24">
        <v>100</v>
      </c>
    </row>
    <row r="78" spans="1:7" x14ac:dyDescent="0.25">
      <c r="A78" s="28" t="s">
        <v>76</v>
      </c>
      <c r="B78" s="28" t="s">
        <v>1647</v>
      </c>
      <c r="C78" s="28" t="s">
        <v>1648</v>
      </c>
      <c r="D78" s="28"/>
      <c r="E78" s="28" t="s">
        <v>24</v>
      </c>
      <c r="F78" s="28" t="s">
        <v>24</v>
      </c>
      <c r="G78" s="24">
        <v>100</v>
      </c>
    </row>
    <row r="79" spans="1:7" x14ac:dyDescent="0.25">
      <c r="A79" s="28" t="s">
        <v>109</v>
      </c>
      <c r="B79" s="28" t="s">
        <v>1649</v>
      </c>
      <c r="C79" s="28" t="s">
        <v>1650</v>
      </c>
      <c r="D79" s="28"/>
      <c r="E79" s="28" t="s">
        <v>24</v>
      </c>
      <c r="F79" s="28" t="s">
        <v>24</v>
      </c>
      <c r="G79" s="24">
        <v>100</v>
      </c>
    </row>
    <row r="80" spans="1:7" x14ac:dyDescent="0.25">
      <c r="A80" s="28" t="s">
        <v>122</v>
      </c>
      <c r="B80" s="28" t="s">
        <v>1651</v>
      </c>
      <c r="C80" s="28" t="s">
        <v>1652</v>
      </c>
      <c r="D80" s="28"/>
      <c r="E80" s="28" t="s">
        <v>24</v>
      </c>
      <c r="F80" s="28" t="s">
        <v>24</v>
      </c>
      <c r="G80" s="24">
        <v>100</v>
      </c>
    </row>
    <row r="81" spans="1:7" x14ac:dyDescent="0.25">
      <c r="A81" s="28" t="s">
        <v>122</v>
      </c>
      <c r="B81" s="28" t="s">
        <v>1653</v>
      </c>
      <c r="C81" s="28" t="s">
        <v>1654</v>
      </c>
      <c r="D81" s="28"/>
      <c r="E81" s="28" t="s">
        <v>24</v>
      </c>
      <c r="F81" s="28" t="s">
        <v>24</v>
      </c>
      <c r="G81" s="24">
        <v>100</v>
      </c>
    </row>
    <row r="82" spans="1:7" x14ac:dyDescent="0.25">
      <c r="A82" s="28" t="s">
        <v>31</v>
      </c>
      <c r="B82" s="28" t="s">
        <v>1655</v>
      </c>
      <c r="C82" s="28" t="s">
        <v>1656</v>
      </c>
      <c r="D82" s="28"/>
      <c r="E82" s="28" t="s">
        <v>24</v>
      </c>
      <c r="F82" s="28" t="s">
        <v>24</v>
      </c>
      <c r="G82" s="24">
        <v>100</v>
      </c>
    </row>
    <row r="83" spans="1:7" x14ac:dyDescent="0.25">
      <c r="A83" s="28" t="s">
        <v>31</v>
      </c>
      <c r="B83" s="28" t="s">
        <v>1657</v>
      </c>
      <c r="C83" s="28" t="s">
        <v>1658</v>
      </c>
      <c r="D83" s="28"/>
      <c r="E83" s="28" t="s">
        <v>24</v>
      </c>
      <c r="F83" s="28" t="s">
        <v>24</v>
      </c>
      <c r="G83" s="24">
        <v>100</v>
      </c>
    </row>
    <row r="84" spans="1:7" x14ac:dyDescent="0.25">
      <c r="A84" s="28" t="s">
        <v>31</v>
      </c>
      <c r="B84" s="28" t="s">
        <v>1659</v>
      </c>
      <c r="C84" s="28" t="s">
        <v>1660</v>
      </c>
      <c r="D84" s="28"/>
      <c r="E84" s="28" t="s">
        <v>24</v>
      </c>
      <c r="F84" s="28" t="s">
        <v>24</v>
      </c>
      <c r="G84" s="24">
        <v>100</v>
      </c>
    </row>
    <row r="85" spans="1:7" x14ac:dyDescent="0.25">
      <c r="A85" s="28" t="s">
        <v>58</v>
      </c>
      <c r="B85" s="28" t="s">
        <v>1661</v>
      </c>
      <c r="C85" s="28" t="s">
        <v>1662</v>
      </c>
      <c r="D85" s="28"/>
      <c r="E85" s="28" t="s">
        <v>24</v>
      </c>
      <c r="F85" s="28" t="s">
        <v>24</v>
      </c>
      <c r="G85" s="24">
        <v>100</v>
      </c>
    </row>
    <row r="86" spans="1:7" x14ac:dyDescent="0.25">
      <c r="A86" s="28" t="s">
        <v>109</v>
      </c>
      <c r="B86" s="28" t="s">
        <v>1663</v>
      </c>
      <c r="C86" s="28" t="s">
        <v>1664</v>
      </c>
      <c r="D86" s="28" t="s">
        <v>1582</v>
      </c>
      <c r="E86" s="28" t="s">
        <v>24</v>
      </c>
      <c r="F86" s="28" t="s">
        <v>24</v>
      </c>
      <c r="G86" s="24">
        <v>100</v>
      </c>
    </row>
    <row r="87" spans="1:7" x14ac:dyDescent="0.25">
      <c r="A87" s="28" t="s">
        <v>122</v>
      </c>
      <c r="B87" s="28" t="s">
        <v>1665</v>
      </c>
      <c r="C87" s="28" t="s">
        <v>1666</v>
      </c>
      <c r="D87" s="28" t="s">
        <v>1582</v>
      </c>
      <c r="E87" s="28" t="s">
        <v>24</v>
      </c>
      <c r="F87" s="28" t="s">
        <v>24</v>
      </c>
      <c r="G87" s="24">
        <v>100</v>
      </c>
    </row>
    <row r="88" spans="1:7" x14ac:dyDescent="0.25">
      <c r="A88" s="28" t="s">
        <v>122</v>
      </c>
      <c r="B88" s="28" t="s">
        <v>1667</v>
      </c>
      <c r="C88" s="28" t="s">
        <v>1668</v>
      </c>
      <c r="D88" s="28" t="s">
        <v>1582</v>
      </c>
      <c r="E88" s="28" t="s">
        <v>24</v>
      </c>
      <c r="F88" s="28" t="s">
        <v>24</v>
      </c>
      <c r="G88" s="24">
        <v>100</v>
      </c>
    </row>
    <row r="89" spans="1:7" x14ac:dyDescent="0.25">
      <c r="A89" s="28" t="s">
        <v>76</v>
      </c>
      <c r="B89" s="28" t="s">
        <v>1669</v>
      </c>
      <c r="C89" s="28" t="s">
        <v>1670</v>
      </c>
      <c r="D89" s="28" t="s">
        <v>1582</v>
      </c>
      <c r="E89" s="28" t="s">
        <v>24</v>
      </c>
      <c r="F89" s="28" t="s">
        <v>24</v>
      </c>
      <c r="G89" s="24">
        <v>100</v>
      </c>
    </row>
    <row r="90" spans="1:7" x14ac:dyDescent="0.25">
      <c r="A90" s="28" t="s">
        <v>141</v>
      </c>
      <c r="B90" s="28" t="s">
        <v>1671</v>
      </c>
      <c r="C90" s="28" t="s">
        <v>1672</v>
      </c>
      <c r="D90" s="28"/>
      <c r="E90" s="28" t="s">
        <v>24</v>
      </c>
      <c r="F90" s="28" t="s">
        <v>24</v>
      </c>
      <c r="G90" s="24">
        <v>20</v>
      </c>
    </row>
    <row r="91" spans="1:7" x14ac:dyDescent="0.25">
      <c r="A91" s="28" t="s">
        <v>31</v>
      </c>
      <c r="B91" s="28" t="s">
        <v>1673</v>
      </c>
      <c r="C91" s="28" t="s">
        <v>1674</v>
      </c>
      <c r="D91" s="28"/>
      <c r="E91" s="28" t="s">
        <v>24</v>
      </c>
      <c r="F91" s="28" t="s">
        <v>24</v>
      </c>
      <c r="G91" s="24">
        <v>100</v>
      </c>
    </row>
    <row r="92" spans="1:7" x14ac:dyDescent="0.25">
      <c r="A92" s="28" t="s">
        <v>109</v>
      </c>
      <c r="B92" s="28" t="s">
        <v>1675</v>
      </c>
      <c r="C92" s="28" t="s">
        <v>1676</v>
      </c>
      <c r="D92" s="28"/>
      <c r="E92" s="28" t="s">
        <v>24</v>
      </c>
      <c r="F92" s="28" t="s">
        <v>24</v>
      </c>
      <c r="G92" s="24">
        <v>100</v>
      </c>
    </row>
    <row r="93" spans="1:7" x14ac:dyDescent="0.25">
      <c r="A93" s="28" t="s">
        <v>109</v>
      </c>
      <c r="B93" s="28" t="s">
        <v>1677</v>
      </c>
      <c r="C93" s="28" t="s">
        <v>1678</v>
      </c>
      <c r="D93" s="28"/>
      <c r="E93" s="28" t="s">
        <v>24</v>
      </c>
      <c r="F93" s="28" t="s">
        <v>24</v>
      </c>
      <c r="G93" s="24">
        <v>100</v>
      </c>
    </row>
    <row r="94" spans="1:7" x14ac:dyDescent="0.25">
      <c r="A94" s="28" t="s">
        <v>31</v>
      </c>
      <c r="B94" s="28" t="s">
        <v>1679</v>
      </c>
      <c r="C94" s="28" t="s">
        <v>1680</v>
      </c>
      <c r="D94" s="28"/>
      <c r="E94" s="28" t="s">
        <v>24</v>
      </c>
      <c r="F94" s="28" t="s">
        <v>24</v>
      </c>
      <c r="G94" s="24">
        <v>100</v>
      </c>
    </row>
    <row r="95" spans="1:7" x14ac:dyDescent="0.25">
      <c r="A95" s="28" t="s">
        <v>52</v>
      </c>
      <c r="B95" s="28" t="s">
        <v>1681</v>
      </c>
      <c r="C95" s="28" t="s">
        <v>1682</v>
      </c>
      <c r="D95" s="28"/>
      <c r="E95" s="28" t="s">
        <v>24</v>
      </c>
      <c r="F95" s="28" t="s">
        <v>24</v>
      </c>
      <c r="G95" s="24">
        <v>100</v>
      </c>
    </row>
    <row r="96" spans="1:7" x14ac:dyDescent="0.25">
      <c r="A96" s="28" t="s">
        <v>58</v>
      </c>
      <c r="B96" s="28" t="s">
        <v>1683</v>
      </c>
      <c r="C96" s="28" t="s">
        <v>1684</v>
      </c>
      <c r="D96" s="28"/>
      <c r="E96" s="28" t="s">
        <v>24</v>
      </c>
      <c r="F96" s="28" t="s">
        <v>24</v>
      </c>
      <c r="G96" s="24">
        <v>100</v>
      </c>
    </row>
    <row r="97" spans="1:7" x14ac:dyDescent="0.25">
      <c r="A97" s="28" t="s">
        <v>109</v>
      </c>
      <c r="B97" s="28" t="s">
        <v>1685</v>
      </c>
      <c r="C97" s="28" t="s">
        <v>1686</v>
      </c>
      <c r="D97" s="28"/>
      <c r="E97" s="28" t="s">
        <v>24</v>
      </c>
      <c r="F97" s="28" t="s">
        <v>24</v>
      </c>
      <c r="G97" s="24">
        <v>100</v>
      </c>
    </row>
    <row r="98" spans="1:7" x14ac:dyDescent="0.25">
      <c r="A98" s="28" t="s">
        <v>122</v>
      </c>
      <c r="B98" s="28" t="s">
        <v>1687</v>
      </c>
      <c r="C98" s="28" t="s">
        <v>1688</v>
      </c>
      <c r="D98" s="28"/>
      <c r="E98" s="28" t="s">
        <v>24</v>
      </c>
      <c r="F98" s="28" t="s">
        <v>24</v>
      </c>
      <c r="G98" s="24">
        <v>100</v>
      </c>
    </row>
    <row r="99" spans="1:7" x14ac:dyDescent="0.25">
      <c r="A99" s="28" t="s">
        <v>109</v>
      </c>
      <c r="B99" s="28" t="s">
        <v>1689</v>
      </c>
      <c r="C99" s="28" t="s">
        <v>1690</v>
      </c>
      <c r="D99" s="28"/>
      <c r="E99" s="28" t="s">
        <v>24</v>
      </c>
      <c r="F99" s="28" t="s">
        <v>24</v>
      </c>
      <c r="G99" s="24">
        <v>100</v>
      </c>
    </row>
    <row r="100" spans="1:7" x14ac:dyDescent="0.25">
      <c r="A100" s="28" t="s">
        <v>76</v>
      </c>
      <c r="B100" s="28" t="s">
        <v>1691</v>
      </c>
      <c r="C100" s="28" t="s">
        <v>1692</v>
      </c>
      <c r="D100" s="28"/>
      <c r="E100" s="28" t="s">
        <v>24</v>
      </c>
      <c r="F100" s="28" t="s">
        <v>24</v>
      </c>
      <c r="G100" s="24">
        <v>100</v>
      </c>
    </row>
    <row r="101" spans="1:7" x14ac:dyDescent="0.25">
      <c r="A101" s="28" t="s">
        <v>37</v>
      </c>
      <c r="B101" s="28" t="s">
        <v>1693</v>
      </c>
      <c r="C101" s="28" t="s">
        <v>1694</v>
      </c>
      <c r="D101" s="28"/>
      <c r="E101" s="28" t="s">
        <v>24</v>
      </c>
      <c r="F101" s="28" t="s">
        <v>24</v>
      </c>
      <c r="G101" s="24">
        <v>50</v>
      </c>
    </row>
    <row r="102" spans="1:7" x14ac:dyDescent="0.25">
      <c r="A102" s="28" t="s">
        <v>34</v>
      </c>
      <c r="B102" s="28" t="s">
        <v>1695</v>
      </c>
      <c r="C102" s="28" t="s">
        <v>1696</v>
      </c>
      <c r="D102" s="28"/>
      <c r="E102" s="28" t="s">
        <v>24</v>
      </c>
      <c r="F102" s="28" t="s">
        <v>24</v>
      </c>
      <c r="G102" s="24">
        <v>30</v>
      </c>
    </row>
    <row r="103" spans="1:7" x14ac:dyDescent="0.25">
      <c r="A103" s="28" t="s">
        <v>109</v>
      </c>
      <c r="B103" s="28" t="s">
        <v>1697</v>
      </c>
      <c r="C103" s="28" t="s">
        <v>1698</v>
      </c>
      <c r="D103" s="28" t="s">
        <v>1582</v>
      </c>
      <c r="E103" s="28" t="s">
        <v>24</v>
      </c>
      <c r="F103" s="28" t="s">
        <v>24</v>
      </c>
      <c r="G103" s="24">
        <v>100</v>
      </c>
    </row>
    <row r="104" spans="1:7" x14ac:dyDescent="0.25">
      <c r="A104" s="28" t="s">
        <v>65</v>
      </c>
      <c r="B104" s="28" t="s">
        <v>1699</v>
      </c>
      <c r="C104" s="28" t="s">
        <v>1700</v>
      </c>
      <c r="D104" s="28" t="s">
        <v>1582</v>
      </c>
      <c r="E104" s="28" t="s">
        <v>24</v>
      </c>
      <c r="F104" s="28" t="s">
        <v>24</v>
      </c>
      <c r="G104" s="24">
        <v>100</v>
      </c>
    </row>
    <row r="105" spans="1:7" x14ac:dyDescent="0.25">
      <c r="A105" s="28" t="s">
        <v>122</v>
      </c>
      <c r="B105" s="28" t="s">
        <v>1701</v>
      </c>
      <c r="C105" s="28" t="s">
        <v>1702</v>
      </c>
      <c r="D105" s="28" t="s">
        <v>1582</v>
      </c>
      <c r="E105" s="28" t="s">
        <v>24</v>
      </c>
      <c r="F105" s="28" t="s">
        <v>24</v>
      </c>
      <c r="G105" s="24">
        <v>100</v>
      </c>
    </row>
    <row r="106" spans="1:7" x14ac:dyDescent="0.25">
      <c r="A106" s="28" t="s">
        <v>122</v>
      </c>
      <c r="B106" s="28" t="s">
        <v>1703</v>
      </c>
      <c r="C106" s="28" t="s">
        <v>1704</v>
      </c>
      <c r="D106" s="28" t="s">
        <v>1582</v>
      </c>
      <c r="E106" s="28" t="s">
        <v>24</v>
      </c>
      <c r="F106" s="28" t="s">
        <v>24</v>
      </c>
      <c r="G106" s="24">
        <v>100</v>
      </c>
    </row>
    <row r="107" spans="1:7" x14ac:dyDescent="0.25">
      <c r="A107" s="28" t="s">
        <v>76</v>
      </c>
      <c r="B107" s="28" t="s">
        <v>1705</v>
      </c>
      <c r="C107" s="28" t="s">
        <v>1706</v>
      </c>
      <c r="D107" s="28" t="s">
        <v>1582</v>
      </c>
      <c r="E107" s="28" t="s">
        <v>24</v>
      </c>
      <c r="F107" s="28" t="s">
        <v>24</v>
      </c>
      <c r="G107" s="24">
        <v>100</v>
      </c>
    </row>
    <row r="108" spans="1:7" x14ac:dyDescent="0.25">
      <c r="A108" s="28" t="s">
        <v>274</v>
      </c>
      <c r="B108" s="28" t="s">
        <v>1707</v>
      </c>
      <c r="C108" s="28" t="s">
        <v>1708</v>
      </c>
      <c r="D108" s="28"/>
      <c r="E108" s="28" t="s">
        <v>24</v>
      </c>
      <c r="F108" s="28" t="s">
        <v>24</v>
      </c>
      <c r="G108" s="24">
        <v>100</v>
      </c>
    </row>
    <row r="109" spans="1:7" x14ac:dyDescent="0.25">
      <c r="A109" s="28" t="s">
        <v>109</v>
      </c>
      <c r="B109" s="28" t="s">
        <v>1709</v>
      </c>
      <c r="C109" s="28" t="s">
        <v>1710</v>
      </c>
      <c r="D109" s="28"/>
      <c r="E109" s="28" t="s">
        <v>24</v>
      </c>
      <c r="F109" s="28" t="s">
        <v>24</v>
      </c>
      <c r="G109" s="24">
        <v>100</v>
      </c>
    </row>
    <row r="110" spans="1:7" x14ac:dyDescent="0.25">
      <c r="A110" s="28" t="s">
        <v>109</v>
      </c>
      <c r="B110" s="28" t="s">
        <v>1711</v>
      </c>
      <c r="C110" s="28" t="s">
        <v>1712</v>
      </c>
      <c r="D110" s="28"/>
      <c r="E110" s="28" t="s">
        <v>24</v>
      </c>
      <c r="F110" s="28" t="s">
        <v>24</v>
      </c>
      <c r="G110" s="24">
        <v>100</v>
      </c>
    </row>
    <row r="111" spans="1:7" x14ac:dyDescent="0.25">
      <c r="A111" s="28" t="s">
        <v>274</v>
      </c>
      <c r="B111" s="28" t="s">
        <v>1713</v>
      </c>
      <c r="C111" s="28" t="s">
        <v>1714</v>
      </c>
      <c r="D111" s="28"/>
      <c r="E111" s="28" t="s">
        <v>24</v>
      </c>
      <c r="F111" s="28" t="s">
        <v>24</v>
      </c>
      <c r="G111" s="24">
        <v>100</v>
      </c>
    </row>
    <row r="112" spans="1:7" x14ac:dyDescent="0.25">
      <c r="A112" s="28" t="s">
        <v>76</v>
      </c>
      <c r="B112" s="28" t="s">
        <v>1715</v>
      </c>
      <c r="C112" s="28" t="s">
        <v>1716</v>
      </c>
      <c r="D112" s="28"/>
      <c r="E112" s="28" t="s">
        <v>24</v>
      </c>
      <c r="F112" s="28" t="s">
        <v>24</v>
      </c>
      <c r="G112" s="24">
        <v>100</v>
      </c>
    </row>
    <row r="113" spans="1:7" x14ac:dyDescent="0.25">
      <c r="A113" s="28" t="s">
        <v>274</v>
      </c>
      <c r="B113" s="28" t="s">
        <v>1717</v>
      </c>
      <c r="C113" s="28" t="s">
        <v>1718</v>
      </c>
      <c r="D113" s="28"/>
      <c r="E113" s="28" t="s">
        <v>24</v>
      </c>
      <c r="F113" s="28" t="s">
        <v>24</v>
      </c>
      <c r="G113" s="24">
        <v>100</v>
      </c>
    </row>
    <row r="114" spans="1:7" x14ac:dyDescent="0.25">
      <c r="A114" s="28" t="s">
        <v>65</v>
      </c>
      <c r="B114" s="28" t="s">
        <v>1719</v>
      </c>
      <c r="C114" s="28" t="s">
        <v>1720</v>
      </c>
      <c r="D114" s="28" t="s">
        <v>1721</v>
      </c>
      <c r="E114" s="28" t="s">
        <v>24</v>
      </c>
      <c r="F114" s="28" t="s">
        <v>24</v>
      </c>
      <c r="G114" s="24">
        <v>100</v>
      </c>
    </row>
    <row r="115" spans="1:7" x14ac:dyDescent="0.25">
      <c r="A115" s="28" t="s">
        <v>76</v>
      </c>
      <c r="B115" s="28" t="s">
        <v>1722</v>
      </c>
      <c r="C115" s="28" t="s">
        <v>1723</v>
      </c>
      <c r="D115" s="28" t="s">
        <v>1721</v>
      </c>
      <c r="E115" s="28" t="s">
        <v>24</v>
      </c>
      <c r="F115" s="28" t="s">
        <v>24</v>
      </c>
      <c r="G115" s="24">
        <v>100</v>
      </c>
    </row>
    <row r="116" spans="1:7" x14ac:dyDescent="0.25">
      <c r="A116" s="28" t="s">
        <v>109</v>
      </c>
      <c r="B116" s="28" t="s">
        <v>1724</v>
      </c>
      <c r="C116" s="28" t="s">
        <v>1725</v>
      </c>
      <c r="D116" s="28" t="s">
        <v>1721</v>
      </c>
      <c r="E116" s="28" t="s">
        <v>24</v>
      </c>
      <c r="F116" s="28" t="s">
        <v>24</v>
      </c>
      <c r="G116" s="24">
        <v>100</v>
      </c>
    </row>
    <row r="117" spans="1:7" x14ac:dyDescent="0.25">
      <c r="A117" s="28" t="s">
        <v>122</v>
      </c>
      <c r="B117" s="28" t="s">
        <v>1726</v>
      </c>
      <c r="C117" s="28" t="s">
        <v>1727</v>
      </c>
      <c r="D117" s="28" t="s">
        <v>1721</v>
      </c>
      <c r="E117" s="28" t="s">
        <v>24</v>
      </c>
      <c r="F117" s="28" t="s">
        <v>24</v>
      </c>
      <c r="G117" s="24">
        <v>100</v>
      </c>
    </row>
    <row r="118" spans="1:7" x14ac:dyDescent="0.25">
      <c r="A118" s="28" t="s">
        <v>122</v>
      </c>
      <c r="B118" s="28" t="s">
        <v>1728</v>
      </c>
      <c r="C118" s="28" t="s">
        <v>1729</v>
      </c>
      <c r="D118" s="28" t="s">
        <v>1721</v>
      </c>
      <c r="E118" s="28" t="s">
        <v>24</v>
      </c>
      <c r="F118" s="28" t="s">
        <v>24</v>
      </c>
      <c r="G118" s="24">
        <v>100</v>
      </c>
    </row>
    <row r="119" spans="1:7" x14ac:dyDescent="0.25">
      <c r="A119" s="28" t="s">
        <v>58</v>
      </c>
      <c r="B119" s="28" t="s">
        <v>1730</v>
      </c>
      <c r="C119" s="28" t="s">
        <v>1731</v>
      </c>
      <c r="D119" s="28"/>
      <c r="E119" s="28" t="s">
        <v>24</v>
      </c>
      <c r="F119" s="28" t="s">
        <v>24</v>
      </c>
      <c r="G119" s="24">
        <v>100</v>
      </c>
    </row>
    <row r="120" spans="1:7" x14ac:dyDescent="0.25">
      <c r="A120" s="28" t="s">
        <v>76</v>
      </c>
      <c r="B120" s="28" t="s">
        <v>1732</v>
      </c>
      <c r="C120" s="28" t="s">
        <v>1733</v>
      </c>
      <c r="D120" s="28" t="s">
        <v>1582</v>
      </c>
      <c r="E120" s="28" t="s">
        <v>24</v>
      </c>
      <c r="F120" s="28" t="s">
        <v>24</v>
      </c>
      <c r="G120" s="24">
        <v>100</v>
      </c>
    </row>
    <row r="121" spans="1:7" x14ac:dyDescent="0.25">
      <c r="A121" s="28" t="s">
        <v>65</v>
      </c>
      <c r="B121" s="28" t="s">
        <v>1734</v>
      </c>
      <c r="C121" s="28" t="s">
        <v>1735</v>
      </c>
      <c r="D121" s="28" t="s">
        <v>1582</v>
      </c>
      <c r="E121" s="28" t="s">
        <v>24</v>
      </c>
      <c r="F121" s="28" t="s">
        <v>24</v>
      </c>
      <c r="G121" s="24">
        <v>100</v>
      </c>
    </row>
    <row r="122" spans="1:7" x14ac:dyDescent="0.25">
      <c r="A122" s="28" t="s">
        <v>555</v>
      </c>
      <c r="B122" s="28" t="s">
        <v>1736</v>
      </c>
      <c r="C122" s="28" t="s">
        <v>1737</v>
      </c>
      <c r="D122" s="28" t="s">
        <v>1582</v>
      </c>
      <c r="E122" s="28" t="s">
        <v>24</v>
      </c>
      <c r="F122" s="28" t="s">
        <v>24</v>
      </c>
      <c r="G122" s="24">
        <v>100</v>
      </c>
    </row>
    <row r="123" spans="1:7" x14ac:dyDescent="0.25">
      <c r="A123" s="28" t="s">
        <v>109</v>
      </c>
      <c r="B123" s="28" t="s">
        <v>1738</v>
      </c>
      <c r="C123" s="28" t="s">
        <v>1739</v>
      </c>
      <c r="D123" s="28" t="s">
        <v>1582</v>
      </c>
      <c r="E123" s="28" t="s">
        <v>24</v>
      </c>
      <c r="F123" s="28" t="s">
        <v>24</v>
      </c>
      <c r="G123" s="24">
        <v>100</v>
      </c>
    </row>
    <row r="124" spans="1:7" x14ac:dyDescent="0.25">
      <c r="A124" s="28" t="s">
        <v>122</v>
      </c>
      <c r="B124" s="28" t="s">
        <v>1740</v>
      </c>
      <c r="C124" s="28" t="s">
        <v>1741</v>
      </c>
      <c r="D124" s="28" t="s">
        <v>1582</v>
      </c>
      <c r="E124" s="28" t="s">
        <v>24</v>
      </c>
      <c r="F124" s="28" t="s">
        <v>24</v>
      </c>
      <c r="G124" s="24">
        <v>100</v>
      </c>
    </row>
    <row r="125" spans="1:7" x14ac:dyDescent="0.25">
      <c r="A125" s="28" t="s">
        <v>76</v>
      </c>
      <c r="B125" s="28" t="s">
        <v>1742</v>
      </c>
      <c r="C125" s="28" t="s">
        <v>1743</v>
      </c>
      <c r="D125" s="28" t="s">
        <v>1582</v>
      </c>
      <c r="E125" s="28" t="s">
        <v>24</v>
      </c>
      <c r="F125" s="28" t="s">
        <v>24</v>
      </c>
      <c r="G125" s="24">
        <v>100</v>
      </c>
    </row>
    <row r="126" spans="1:7" x14ac:dyDescent="0.25">
      <c r="A126" s="28" t="s">
        <v>76</v>
      </c>
      <c r="B126" s="28" t="s">
        <v>1744</v>
      </c>
      <c r="C126" s="28" t="s">
        <v>1745</v>
      </c>
      <c r="D126" s="28"/>
      <c r="E126" s="28" t="s">
        <v>24</v>
      </c>
      <c r="F126" s="28" t="s">
        <v>24</v>
      </c>
      <c r="G126" s="24">
        <v>100</v>
      </c>
    </row>
    <row r="127" spans="1:7" x14ac:dyDescent="0.25">
      <c r="A127" s="28" t="s">
        <v>109</v>
      </c>
      <c r="B127" s="28" t="s">
        <v>1746</v>
      </c>
      <c r="C127" s="28" t="s">
        <v>1747</v>
      </c>
      <c r="D127" s="28"/>
      <c r="E127" s="28" t="s">
        <v>24</v>
      </c>
      <c r="F127" s="28" t="s">
        <v>24</v>
      </c>
      <c r="G127" s="24">
        <v>100</v>
      </c>
    </row>
    <row r="128" spans="1:7" x14ac:dyDescent="0.25">
      <c r="A128" s="28" t="s">
        <v>122</v>
      </c>
      <c r="B128" s="28" t="s">
        <v>1748</v>
      </c>
      <c r="C128" s="28" t="s">
        <v>1749</v>
      </c>
      <c r="D128" s="28"/>
      <c r="E128" s="28" t="s">
        <v>24</v>
      </c>
      <c r="F128" s="28" t="s">
        <v>24</v>
      </c>
      <c r="G128" s="24">
        <v>100</v>
      </c>
    </row>
    <row r="129" spans="1:7" x14ac:dyDescent="0.25">
      <c r="A129" s="28" t="s">
        <v>65</v>
      </c>
      <c r="B129" s="28" t="s">
        <v>1750</v>
      </c>
      <c r="C129" s="28" t="s">
        <v>1751</v>
      </c>
      <c r="D129" s="28"/>
      <c r="E129" s="28" t="s">
        <v>24</v>
      </c>
      <c r="F129" s="28" t="s">
        <v>24</v>
      </c>
      <c r="G129" s="24">
        <v>100</v>
      </c>
    </row>
    <row r="130" spans="1:7" x14ac:dyDescent="0.25">
      <c r="A130" s="28" t="s">
        <v>76</v>
      </c>
      <c r="B130" s="28" t="s">
        <v>1752</v>
      </c>
      <c r="C130" s="28" t="s">
        <v>1753</v>
      </c>
      <c r="D130" s="28" t="s">
        <v>1721</v>
      </c>
      <c r="E130" s="28" t="s">
        <v>24</v>
      </c>
      <c r="F130" s="28" t="s">
        <v>24</v>
      </c>
      <c r="G130" s="24">
        <v>100</v>
      </c>
    </row>
    <row r="131" spans="1:7" x14ac:dyDescent="0.25">
      <c r="A131" s="28" t="s">
        <v>109</v>
      </c>
      <c r="B131" s="28" t="s">
        <v>1754</v>
      </c>
      <c r="C131" s="28" t="s">
        <v>1755</v>
      </c>
      <c r="D131" s="28" t="s">
        <v>1721</v>
      </c>
      <c r="E131" s="28" t="s">
        <v>24</v>
      </c>
      <c r="F131" s="28" t="s">
        <v>24</v>
      </c>
      <c r="G131" s="24">
        <v>100</v>
      </c>
    </row>
    <row r="132" spans="1:7" x14ac:dyDescent="0.25">
      <c r="A132" s="28" t="s">
        <v>122</v>
      </c>
      <c r="B132" s="28" t="s">
        <v>1756</v>
      </c>
      <c r="C132" s="28" t="s">
        <v>1757</v>
      </c>
      <c r="D132" s="28" t="s">
        <v>1721</v>
      </c>
      <c r="E132" s="28" t="s">
        <v>24</v>
      </c>
      <c r="F132" s="28" t="s">
        <v>24</v>
      </c>
      <c r="G132" s="24">
        <v>100</v>
      </c>
    </row>
    <row r="133" spans="1:7" x14ac:dyDescent="0.25">
      <c r="A133" s="28" t="s">
        <v>76</v>
      </c>
      <c r="B133" s="28" t="s">
        <v>1758</v>
      </c>
      <c r="C133" s="28" t="s">
        <v>1759</v>
      </c>
      <c r="D133" s="28" t="s">
        <v>1721</v>
      </c>
      <c r="E133" s="28" t="s">
        <v>24</v>
      </c>
      <c r="F133" s="28" t="s">
        <v>24</v>
      </c>
      <c r="G133" s="24">
        <v>100</v>
      </c>
    </row>
    <row r="134" spans="1:7" x14ac:dyDescent="0.25">
      <c r="A134" s="28" t="s">
        <v>65</v>
      </c>
      <c r="B134" s="28" t="s">
        <v>1760</v>
      </c>
      <c r="C134" s="28" t="s">
        <v>1761</v>
      </c>
      <c r="D134" s="28" t="s">
        <v>1721</v>
      </c>
      <c r="E134" s="28" t="s">
        <v>24</v>
      </c>
      <c r="F134" s="28" t="s">
        <v>24</v>
      </c>
      <c r="G134" s="24">
        <v>100</v>
      </c>
    </row>
    <row r="135" spans="1:7" x14ac:dyDescent="0.25">
      <c r="A135" s="28" t="s">
        <v>109</v>
      </c>
      <c r="B135" s="28" t="s">
        <v>1762</v>
      </c>
      <c r="C135" s="28" t="s">
        <v>1763</v>
      </c>
      <c r="D135" s="28" t="s">
        <v>1721</v>
      </c>
      <c r="E135" s="28" t="s">
        <v>24</v>
      </c>
      <c r="F135" s="28" t="s">
        <v>24</v>
      </c>
      <c r="G135" s="24">
        <v>100</v>
      </c>
    </row>
    <row r="136" spans="1:7" x14ac:dyDescent="0.25">
      <c r="A136" s="28" t="s">
        <v>31</v>
      </c>
      <c r="B136" s="28" t="s">
        <v>1764</v>
      </c>
      <c r="C136" s="28" t="s">
        <v>1765</v>
      </c>
      <c r="D136" s="28"/>
      <c r="E136" s="28" t="s">
        <v>24</v>
      </c>
      <c r="F136" s="28" t="s">
        <v>24</v>
      </c>
      <c r="G136" s="24">
        <v>100</v>
      </c>
    </row>
    <row r="137" spans="1:7" x14ac:dyDescent="0.25">
      <c r="A137" s="28" t="s">
        <v>76</v>
      </c>
      <c r="B137" s="28" t="s">
        <v>1766</v>
      </c>
      <c r="C137" s="28" t="s">
        <v>1767</v>
      </c>
      <c r="D137" s="28"/>
      <c r="E137" s="28" t="s">
        <v>24</v>
      </c>
      <c r="F137" s="28" t="s">
        <v>24</v>
      </c>
      <c r="G137" s="24">
        <v>100</v>
      </c>
    </row>
    <row r="138" spans="1:7" x14ac:dyDescent="0.25">
      <c r="A138" s="28" t="s">
        <v>109</v>
      </c>
      <c r="B138" s="28" t="s">
        <v>1768</v>
      </c>
      <c r="C138" s="28" t="s">
        <v>1769</v>
      </c>
      <c r="D138" s="28"/>
      <c r="E138" s="28" t="s">
        <v>24</v>
      </c>
      <c r="F138" s="28" t="s">
        <v>24</v>
      </c>
      <c r="G138" s="24">
        <v>100</v>
      </c>
    </row>
    <row r="139" spans="1:7" x14ac:dyDescent="0.25">
      <c r="A139" s="28" t="s">
        <v>122</v>
      </c>
      <c r="B139" s="28" t="s">
        <v>1770</v>
      </c>
      <c r="C139" s="28" t="s">
        <v>1771</v>
      </c>
      <c r="D139" s="28"/>
      <c r="E139" s="28" t="s">
        <v>24</v>
      </c>
      <c r="F139" s="28" t="s">
        <v>24</v>
      </c>
      <c r="G139" s="24">
        <v>100</v>
      </c>
    </row>
    <row r="140" spans="1:7" x14ac:dyDescent="0.25">
      <c r="A140" s="28" t="s">
        <v>109</v>
      </c>
      <c r="B140" s="28" t="s">
        <v>1772</v>
      </c>
      <c r="C140" s="28" t="s">
        <v>1773</v>
      </c>
      <c r="D140" s="28" t="s">
        <v>1582</v>
      </c>
      <c r="E140" s="28" t="s">
        <v>24</v>
      </c>
      <c r="F140" s="28" t="s">
        <v>24</v>
      </c>
      <c r="G140" s="24">
        <v>100</v>
      </c>
    </row>
    <row r="141" spans="1:7" x14ac:dyDescent="0.25">
      <c r="A141" s="28" t="s">
        <v>65</v>
      </c>
      <c r="B141" s="28" t="s">
        <v>1774</v>
      </c>
      <c r="C141" s="28" t="s">
        <v>1775</v>
      </c>
      <c r="D141" s="28" t="s">
        <v>1582</v>
      </c>
      <c r="E141" s="28" t="s">
        <v>24</v>
      </c>
      <c r="F141" s="28" t="s">
        <v>24</v>
      </c>
      <c r="G141" s="24">
        <v>100</v>
      </c>
    </row>
    <row r="142" spans="1:7" x14ac:dyDescent="0.25">
      <c r="A142" s="28" t="s">
        <v>122</v>
      </c>
      <c r="B142" s="28" t="s">
        <v>1776</v>
      </c>
      <c r="C142" s="28" t="s">
        <v>1777</v>
      </c>
      <c r="D142" s="28" t="s">
        <v>1582</v>
      </c>
      <c r="E142" s="28" t="s">
        <v>24</v>
      </c>
      <c r="F142" s="28" t="s">
        <v>24</v>
      </c>
      <c r="G142" s="24">
        <v>100</v>
      </c>
    </row>
    <row r="143" spans="1:7" x14ac:dyDescent="0.25">
      <c r="A143" s="28" t="s">
        <v>122</v>
      </c>
      <c r="B143" s="28" t="s">
        <v>1778</v>
      </c>
      <c r="C143" s="28" t="s">
        <v>1779</v>
      </c>
      <c r="D143" s="28" t="s">
        <v>1582</v>
      </c>
      <c r="E143" s="28" t="s">
        <v>24</v>
      </c>
      <c r="F143" s="28" t="s">
        <v>24</v>
      </c>
      <c r="G143" s="24">
        <v>100</v>
      </c>
    </row>
    <row r="144" spans="1:7" x14ac:dyDescent="0.25">
      <c r="A144" s="28" t="s">
        <v>76</v>
      </c>
      <c r="B144" s="28" t="s">
        <v>1780</v>
      </c>
      <c r="C144" s="28" t="s">
        <v>1781</v>
      </c>
      <c r="D144" s="28" t="s">
        <v>1582</v>
      </c>
      <c r="E144" s="28" t="s">
        <v>24</v>
      </c>
      <c r="F144" s="28" t="s">
        <v>24</v>
      </c>
      <c r="G144" s="24">
        <v>100</v>
      </c>
    </row>
    <row r="145" spans="1:7" x14ac:dyDescent="0.25">
      <c r="A145" s="28" t="s">
        <v>109</v>
      </c>
      <c r="B145" s="28" t="s">
        <v>1782</v>
      </c>
      <c r="C145" s="28" t="s">
        <v>1783</v>
      </c>
      <c r="D145" s="28"/>
      <c r="E145" s="28" t="s">
        <v>24</v>
      </c>
      <c r="F145" s="28" t="s">
        <v>24</v>
      </c>
      <c r="G145" s="24">
        <v>100</v>
      </c>
    </row>
    <row r="146" spans="1:7" x14ac:dyDescent="0.25">
      <c r="A146" s="28" t="s">
        <v>122</v>
      </c>
      <c r="B146" s="28" t="s">
        <v>1784</v>
      </c>
      <c r="C146" s="28" t="s">
        <v>1785</v>
      </c>
      <c r="D146" s="28"/>
      <c r="E146" s="28" t="s">
        <v>24</v>
      </c>
      <c r="F146" s="28" t="s">
        <v>24</v>
      </c>
      <c r="G146" s="24">
        <v>100</v>
      </c>
    </row>
    <row r="147" spans="1:7" x14ac:dyDescent="0.25">
      <c r="A147" s="28" t="s">
        <v>76</v>
      </c>
      <c r="B147" s="28" t="s">
        <v>1786</v>
      </c>
      <c r="C147" s="28" t="s">
        <v>1787</v>
      </c>
      <c r="D147" s="28"/>
      <c r="E147" s="28" t="s">
        <v>24</v>
      </c>
      <c r="F147" s="28" t="s">
        <v>24</v>
      </c>
      <c r="G147" s="24">
        <v>100</v>
      </c>
    </row>
    <row r="148" spans="1:7" x14ac:dyDescent="0.25">
      <c r="A148" s="28" t="s">
        <v>76</v>
      </c>
      <c r="B148" s="28" t="s">
        <v>1788</v>
      </c>
      <c r="C148" s="28" t="s">
        <v>1789</v>
      </c>
      <c r="D148" s="28"/>
      <c r="E148" s="28" t="s">
        <v>24</v>
      </c>
      <c r="F148" s="28" t="s">
        <v>24</v>
      </c>
      <c r="G148" s="24">
        <v>100</v>
      </c>
    </row>
    <row r="149" spans="1:7" x14ac:dyDescent="0.25">
      <c r="A149" s="28" t="s">
        <v>555</v>
      </c>
      <c r="B149" s="28" t="s">
        <v>1790</v>
      </c>
      <c r="C149" s="28" t="s">
        <v>1791</v>
      </c>
      <c r="D149" s="28"/>
      <c r="E149" s="28" t="s">
        <v>24</v>
      </c>
      <c r="F149" s="28" t="s">
        <v>24</v>
      </c>
      <c r="G149" s="24">
        <v>100</v>
      </c>
    </row>
    <row r="150" spans="1:7" x14ac:dyDescent="0.25">
      <c r="A150" s="28" t="s">
        <v>65</v>
      </c>
      <c r="B150" s="28" t="s">
        <v>1792</v>
      </c>
      <c r="C150" s="28" t="s">
        <v>1793</v>
      </c>
      <c r="D150" s="28"/>
      <c r="E150" s="28" t="s">
        <v>24</v>
      </c>
      <c r="F150" s="28" t="s">
        <v>24</v>
      </c>
      <c r="G150" s="24">
        <v>100</v>
      </c>
    </row>
    <row r="151" spans="1:7" x14ac:dyDescent="0.25">
      <c r="A151" s="28" t="s">
        <v>109</v>
      </c>
      <c r="B151" s="28" t="s">
        <v>1794</v>
      </c>
      <c r="C151" s="28" t="s">
        <v>1795</v>
      </c>
      <c r="D151" s="28"/>
      <c r="E151" s="28" t="s">
        <v>24</v>
      </c>
      <c r="F151" s="28" t="s">
        <v>24</v>
      </c>
      <c r="G151" s="24">
        <v>100</v>
      </c>
    </row>
    <row r="152" spans="1:7" x14ac:dyDescent="0.25">
      <c r="A152" s="28" t="s">
        <v>122</v>
      </c>
      <c r="B152" s="28" t="s">
        <v>1796</v>
      </c>
      <c r="C152" s="28" t="s">
        <v>1797</v>
      </c>
      <c r="D152" s="28"/>
      <c r="E152" s="28" t="s">
        <v>24</v>
      </c>
      <c r="F152" s="28" t="s">
        <v>24</v>
      </c>
      <c r="G152" s="24">
        <v>100</v>
      </c>
    </row>
    <row r="153" spans="1:7" ht="30" x14ac:dyDescent="0.25">
      <c r="A153" s="28" t="s">
        <v>122</v>
      </c>
      <c r="B153" s="28" t="s">
        <v>1798</v>
      </c>
      <c r="C153" s="28" t="s">
        <v>1799</v>
      </c>
      <c r="D153" s="28" t="s">
        <v>1721</v>
      </c>
      <c r="E153" s="28" t="s">
        <v>24</v>
      </c>
      <c r="F153" s="28" t="s">
        <v>24</v>
      </c>
      <c r="G153" s="24">
        <v>100</v>
      </c>
    </row>
    <row r="154" spans="1:7" x14ac:dyDescent="0.25">
      <c r="A154" s="28" t="s">
        <v>76</v>
      </c>
      <c r="B154" s="28" t="s">
        <v>1800</v>
      </c>
      <c r="C154" s="28" t="s">
        <v>1801</v>
      </c>
      <c r="D154" s="28" t="s">
        <v>1721</v>
      </c>
      <c r="E154" s="28" t="s">
        <v>24</v>
      </c>
      <c r="F154" s="28" t="s">
        <v>24</v>
      </c>
      <c r="G154" s="24">
        <v>100</v>
      </c>
    </row>
    <row r="155" spans="1:7" x14ac:dyDescent="0.25">
      <c r="A155" s="28" t="s">
        <v>555</v>
      </c>
      <c r="B155" s="28" t="s">
        <v>1802</v>
      </c>
      <c r="C155" s="28" t="s">
        <v>1803</v>
      </c>
      <c r="D155" s="28" t="s">
        <v>1721</v>
      </c>
      <c r="E155" s="28" t="s">
        <v>24</v>
      </c>
      <c r="F155" s="28" t="s">
        <v>24</v>
      </c>
      <c r="G155" s="24">
        <v>100</v>
      </c>
    </row>
    <row r="156" spans="1:7" x14ac:dyDescent="0.25">
      <c r="A156" s="28" t="s">
        <v>109</v>
      </c>
      <c r="B156" s="28" t="s">
        <v>1804</v>
      </c>
      <c r="C156" s="28" t="s">
        <v>1805</v>
      </c>
      <c r="D156" s="28" t="s">
        <v>1721</v>
      </c>
      <c r="E156" s="28" t="s">
        <v>24</v>
      </c>
      <c r="F156" s="28" t="s">
        <v>24</v>
      </c>
      <c r="G156" s="24">
        <v>100</v>
      </c>
    </row>
    <row r="157" spans="1:7" ht="30" x14ac:dyDescent="0.25">
      <c r="A157" s="28" t="s">
        <v>122</v>
      </c>
      <c r="B157" s="28" t="s">
        <v>1806</v>
      </c>
      <c r="C157" s="28" t="s">
        <v>1807</v>
      </c>
      <c r="D157" s="28" t="s">
        <v>1721</v>
      </c>
      <c r="E157" s="28" t="s">
        <v>24</v>
      </c>
      <c r="F157" s="28" t="s">
        <v>24</v>
      </c>
      <c r="G157" s="24">
        <v>100</v>
      </c>
    </row>
    <row r="158" spans="1:7" x14ac:dyDescent="0.25">
      <c r="A158" s="28" t="s">
        <v>65</v>
      </c>
      <c r="B158" s="28" t="s">
        <v>1808</v>
      </c>
      <c r="C158" s="28" t="s">
        <v>1809</v>
      </c>
      <c r="D158" s="28" t="s">
        <v>1721</v>
      </c>
      <c r="E158" s="28" t="s">
        <v>24</v>
      </c>
      <c r="F158" s="28" t="s">
        <v>24</v>
      </c>
      <c r="G158" s="24">
        <v>100</v>
      </c>
    </row>
    <row r="159" spans="1:7" x14ac:dyDescent="0.25">
      <c r="A159" s="28" t="s">
        <v>65</v>
      </c>
      <c r="B159" s="28" t="s">
        <v>1810</v>
      </c>
      <c r="C159" s="28" t="s">
        <v>1811</v>
      </c>
      <c r="D159" s="28"/>
      <c r="E159" s="28" t="s">
        <v>24</v>
      </c>
      <c r="F159" s="28" t="s">
        <v>24</v>
      </c>
      <c r="G159" s="24">
        <v>100</v>
      </c>
    </row>
    <row r="160" spans="1:7" x14ac:dyDescent="0.25">
      <c r="A160" s="28" t="s">
        <v>122</v>
      </c>
      <c r="B160" s="28" t="s">
        <v>1812</v>
      </c>
      <c r="C160" s="28" t="s">
        <v>1813</v>
      </c>
      <c r="D160" s="28"/>
      <c r="E160" s="28" t="s">
        <v>24</v>
      </c>
      <c r="F160" s="28" t="s">
        <v>24</v>
      </c>
      <c r="G160" s="24">
        <v>100</v>
      </c>
    </row>
    <row r="161" spans="1:7" x14ac:dyDescent="0.25">
      <c r="A161" s="28" t="s">
        <v>76</v>
      </c>
      <c r="B161" s="28" t="s">
        <v>1814</v>
      </c>
      <c r="C161" s="28" t="s">
        <v>1815</v>
      </c>
      <c r="D161" s="28"/>
      <c r="E161" s="28" t="s">
        <v>24</v>
      </c>
      <c r="F161" s="28" t="s">
        <v>24</v>
      </c>
      <c r="G161" s="24">
        <v>100</v>
      </c>
    </row>
    <row r="162" spans="1:7" x14ac:dyDescent="0.25">
      <c r="A162" s="28" t="s">
        <v>122</v>
      </c>
      <c r="B162" s="28" t="s">
        <v>1816</v>
      </c>
      <c r="C162" s="28" t="s">
        <v>1817</v>
      </c>
      <c r="D162" s="28"/>
      <c r="E162" s="28" t="s">
        <v>24</v>
      </c>
      <c r="F162" s="28" t="s">
        <v>24</v>
      </c>
      <c r="G162" s="24">
        <v>100</v>
      </c>
    </row>
    <row r="163" spans="1:7" x14ac:dyDescent="0.25">
      <c r="A163" s="28" t="s">
        <v>109</v>
      </c>
      <c r="B163" s="28" t="s">
        <v>1818</v>
      </c>
      <c r="C163" s="28" t="s">
        <v>1819</v>
      </c>
      <c r="D163" s="28"/>
      <c r="E163" s="28" t="s">
        <v>24</v>
      </c>
      <c r="F163" s="28" t="s">
        <v>24</v>
      </c>
      <c r="G163" s="24">
        <v>100</v>
      </c>
    </row>
    <row r="164" spans="1:7" ht="30" x14ac:dyDescent="0.25">
      <c r="A164" s="28" t="s">
        <v>184</v>
      </c>
      <c r="B164" s="28" t="s">
        <v>1820</v>
      </c>
      <c r="C164" s="28" t="s">
        <v>1821</v>
      </c>
      <c r="D164" s="28"/>
      <c r="E164" s="28" t="s">
        <v>24</v>
      </c>
      <c r="F164" s="28" t="s">
        <v>24</v>
      </c>
      <c r="G164" s="24">
        <v>100</v>
      </c>
    </row>
    <row r="165" spans="1:7" x14ac:dyDescent="0.25">
      <c r="A165" s="28" t="s">
        <v>76</v>
      </c>
      <c r="B165" s="28" t="s">
        <v>1822</v>
      </c>
      <c r="C165" s="28" t="s">
        <v>1823</v>
      </c>
      <c r="D165" s="28"/>
      <c r="E165" s="28" t="s">
        <v>24</v>
      </c>
      <c r="F165" s="28" t="s">
        <v>24</v>
      </c>
      <c r="G165" s="24">
        <v>100</v>
      </c>
    </row>
    <row r="166" spans="1:7" x14ac:dyDescent="0.25">
      <c r="A166" s="28" t="s">
        <v>109</v>
      </c>
      <c r="B166" s="28" t="s">
        <v>1824</v>
      </c>
      <c r="C166" s="28" t="s">
        <v>1825</v>
      </c>
      <c r="D166" s="28"/>
      <c r="E166" s="28" t="s">
        <v>24</v>
      </c>
      <c r="F166" s="28" t="s">
        <v>24</v>
      </c>
      <c r="G166" s="24">
        <v>100</v>
      </c>
    </row>
    <row r="167" spans="1:7" x14ac:dyDescent="0.25">
      <c r="A167" s="28" t="s">
        <v>65</v>
      </c>
      <c r="B167" s="28" t="s">
        <v>1826</v>
      </c>
      <c r="C167" s="28" t="s">
        <v>1827</v>
      </c>
      <c r="D167" s="28"/>
      <c r="E167" s="28" t="s">
        <v>24</v>
      </c>
      <c r="F167" s="28" t="s">
        <v>24</v>
      </c>
      <c r="G167" s="24">
        <v>100</v>
      </c>
    </row>
    <row r="168" spans="1:7" x14ac:dyDescent="0.25">
      <c r="A168" s="28" t="s">
        <v>20</v>
      </c>
      <c r="B168" s="28" t="s">
        <v>1828</v>
      </c>
      <c r="C168" s="28" t="s">
        <v>1829</v>
      </c>
      <c r="D168" s="28"/>
      <c r="E168" s="28" t="s">
        <v>24</v>
      </c>
      <c r="F168" s="28" t="s">
        <v>24</v>
      </c>
      <c r="G168" s="24">
        <v>100</v>
      </c>
    </row>
    <row r="169" spans="1:7" x14ac:dyDescent="0.25">
      <c r="A169" s="28" t="s">
        <v>122</v>
      </c>
      <c r="B169" s="28" t="s">
        <v>1830</v>
      </c>
      <c r="C169" s="28" t="s">
        <v>1831</v>
      </c>
      <c r="D169" s="28"/>
      <c r="E169" s="28" t="s">
        <v>24</v>
      </c>
      <c r="F169" s="28" t="s">
        <v>24</v>
      </c>
      <c r="G169" s="24">
        <v>100</v>
      </c>
    </row>
    <row r="170" spans="1:7" x14ac:dyDescent="0.25">
      <c r="A170" s="28" t="s">
        <v>122</v>
      </c>
      <c r="B170" s="28" t="s">
        <v>1832</v>
      </c>
      <c r="C170" s="28" t="s">
        <v>1833</v>
      </c>
      <c r="D170" s="28"/>
      <c r="E170" s="28" t="s">
        <v>24</v>
      </c>
      <c r="F170" s="28" t="s">
        <v>24</v>
      </c>
      <c r="G170" s="24">
        <v>100</v>
      </c>
    </row>
    <row r="171" spans="1:7" x14ac:dyDescent="0.25">
      <c r="A171" s="28" t="s">
        <v>184</v>
      </c>
      <c r="B171" s="28" t="s">
        <v>1834</v>
      </c>
      <c r="C171" s="28" t="s">
        <v>1835</v>
      </c>
      <c r="D171" s="28"/>
      <c r="E171" s="28" t="s">
        <v>24</v>
      </c>
      <c r="F171" s="28" t="s">
        <v>24</v>
      </c>
      <c r="G171" s="24">
        <v>100</v>
      </c>
    </row>
    <row r="172" spans="1:7" x14ac:dyDescent="0.25">
      <c r="A172" s="28" t="s">
        <v>122</v>
      </c>
      <c r="B172" s="28" t="s">
        <v>1836</v>
      </c>
      <c r="C172" s="28" t="s">
        <v>1837</v>
      </c>
      <c r="D172" s="28" t="s">
        <v>1582</v>
      </c>
      <c r="E172" s="28" t="s">
        <v>24</v>
      </c>
      <c r="F172" s="28" t="s">
        <v>24</v>
      </c>
      <c r="G172" s="24">
        <v>100</v>
      </c>
    </row>
    <row r="173" spans="1:7" x14ac:dyDescent="0.25">
      <c r="A173" s="28" t="s">
        <v>109</v>
      </c>
      <c r="B173" s="28" t="s">
        <v>1838</v>
      </c>
      <c r="C173" s="28" t="s">
        <v>1839</v>
      </c>
      <c r="D173" s="28" t="s">
        <v>1582</v>
      </c>
      <c r="E173" s="28" t="s">
        <v>24</v>
      </c>
      <c r="F173" s="28" t="s">
        <v>24</v>
      </c>
      <c r="G173" s="24">
        <v>100</v>
      </c>
    </row>
    <row r="174" spans="1:7" x14ac:dyDescent="0.25">
      <c r="A174" s="28" t="s">
        <v>109</v>
      </c>
      <c r="B174" s="28" t="s">
        <v>1840</v>
      </c>
      <c r="C174" s="28" t="s">
        <v>1841</v>
      </c>
      <c r="D174" s="28" t="s">
        <v>1582</v>
      </c>
      <c r="E174" s="28" t="s">
        <v>24</v>
      </c>
      <c r="F174" s="28" t="s">
        <v>24</v>
      </c>
      <c r="G174" s="24">
        <v>100</v>
      </c>
    </row>
    <row r="175" spans="1:7" x14ac:dyDescent="0.25">
      <c r="A175" s="28" t="s">
        <v>65</v>
      </c>
      <c r="B175" s="28" t="s">
        <v>1842</v>
      </c>
      <c r="C175" s="28" t="s">
        <v>1843</v>
      </c>
      <c r="D175" s="28" t="s">
        <v>1582</v>
      </c>
      <c r="E175" s="28" t="s">
        <v>24</v>
      </c>
      <c r="F175" s="28" t="s">
        <v>24</v>
      </c>
      <c r="G175" s="24">
        <v>100</v>
      </c>
    </row>
    <row r="176" spans="1:7" x14ac:dyDescent="0.25">
      <c r="A176" s="28" t="s">
        <v>76</v>
      </c>
      <c r="B176" s="28" t="s">
        <v>1844</v>
      </c>
      <c r="C176" s="28" t="s">
        <v>1845</v>
      </c>
      <c r="D176" s="28" t="s">
        <v>1582</v>
      </c>
      <c r="E176" s="28" t="s">
        <v>24</v>
      </c>
      <c r="F176" s="28" t="s">
        <v>24</v>
      </c>
      <c r="G176" s="24">
        <v>100</v>
      </c>
    </row>
    <row r="177" spans="1:23" x14ac:dyDescent="0.25">
      <c r="A177" s="28" t="s">
        <v>58</v>
      </c>
      <c r="B177" s="28" t="s">
        <v>1846</v>
      </c>
      <c r="C177" s="28" t="s">
        <v>1847</v>
      </c>
      <c r="D177" s="28"/>
      <c r="E177" s="28" t="s">
        <v>24</v>
      </c>
      <c r="F177" s="28" t="s">
        <v>24</v>
      </c>
      <c r="G177" s="24">
        <v>100</v>
      </c>
    </row>
    <row r="178" spans="1:23" x14ac:dyDescent="0.25">
      <c r="A178" s="28" t="s">
        <v>31</v>
      </c>
      <c r="B178" s="28" t="s">
        <v>1848</v>
      </c>
      <c r="C178" s="28" t="s">
        <v>1849</v>
      </c>
      <c r="D178" s="28"/>
      <c r="E178" s="28" t="s">
        <v>24</v>
      </c>
      <c r="F178" s="28" t="s">
        <v>24</v>
      </c>
      <c r="G178" s="24">
        <v>100</v>
      </c>
    </row>
    <row r="179" spans="1:23" x14ac:dyDescent="0.25">
      <c r="A179" s="28" t="s">
        <v>58</v>
      </c>
      <c r="B179" s="28" t="s">
        <v>1850</v>
      </c>
      <c r="C179" s="28" t="s">
        <v>1851</v>
      </c>
      <c r="D179" s="28"/>
      <c r="E179" s="28" t="s">
        <v>24</v>
      </c>
      <c r="F179" s="28" t="s">
        <v>24</v>
      </c>
      <c r="G179" s="24">
        <v>100</v>
      </c>
    </row>
    <row r="180" spans="1:23" x14ac:dyDescent="0.25">
      <c r="A180" s="8" t="s">
        <v>76</v>
      </c>
      <c r="B180" s="8" t="s">
        <v>1852</v>
      </c>
      <c r="C180" s="8" t="s">
        <v>1853</v>
      </c>
      <c r="D180" s="8"/>
      <c r="E180" s="8" t="s">
        <v>24</v>
      </c>
      <c r="F180" s="8" t="s">
        <v>24</v>
      </c>
      <c r="G180" s="24">
        <v>100</v>
      </c>
    </row>
    <row r="181" spans="1:23" x14ac:dyDescent="0.25">
      <c r="A181" s="8" t="s">
        <v>109</v>
      </c>
      <c r="B181" s="8" t="s">
        <v>1854</v>
      </c>
      <c r="C181" s="8" t="s">
        <v>1855</v>
      </c>
      <c r="D181" s="8"/>
      <c r="E181" s="8" t="s">
        <v>24</v>
      </c>
      <c r="F181" s="8" t="s">
        <v>24</v>
      </c>
      <c r="G181" s="24">
        <v>100</v>
      </c>
    </row>
    <row r="182" spans="1:23" x14ac:dyDescent="0.25">
      <c r="A182" s="8" t="s">
        <v>122</v>
      </c>
      <c r="B182" s="8" t="s">
        <v>1856</v>
      </c>
      <c r="C182" s="8" t="s">
        <v>1857</v>
      </c>
      <c r="D182" s="8"/>
      <c r="E182" s="8" t="s">
        <v>24</v>
      </c>
      <c r="F182" s="8" t="s">
        <v>24</v>
      </c>
      <c r="G182" s="24">
        <v>100</v>
      </c>
    </row>
    <row r="183" spans="1:23" x14ac:dyDescent="0.25">
      <c r="A183" s="8" t="s">
        <v>58</v>
      </c>
      <c r="B183" s="8" t="s">
        <v>1858</v>
      </c>
      <c r="C183" s="8" t="s">
        <v>1859</v>
      </c>
      <c r="D183" s="8"/>
      <c r="E183" s="8" t="s">
        <v>24</v>
      </c>
      <c r="F183" s="8" t="s">
        <v>24</v>
      </c>
      <c r="G183" s="24">
        <v>100</v>
      </c>
    </row>
    <row r="184" spans="1:23" x14ac:dyDescent="0.25">
      <c r="A184" s="8" t="s">
        <v>76</v>
      </c>
      <c r="B184" s="8" t="s">
        <v>1860</v>
      </c>
      <c r="C184" s="8" t="s">
        <v>1861</v>
      </c>
      <c r="D184" s="8"/>
      <c r="E184" s="8" t="s">
        <v>24</v>
      </c>
      <c r="F184" s="8" t="s">
        <v>24</v>
      </c>
      <c r="G184" s="24">
        <v>100</v>
      </c>
    </row>
    <row r="185" spans="1:23" x14ac:dyDescent="0.25">
      <c r="A185" s="8"/>
      <c r="B185" s="8"/>
      <c r="C185" s="8"/>
      <c r="D185" s="8"/>
      <c r="E185" s="8"/>
      <c r="F185" s="8"/>
      <c r="G185" s="8"/>
      <c r="H185" s="8"/>
      <c r="I185" s="8"/>
      <c r="J185" s="8"/>
    </row>
    <row r="186" spans="1:23" x14ac:dyDescent="0.25">
      <c r="A186" s="9" t="s">
        <v>1502</v>
      </c>
      <c r="B186" s="5"/>
      <c r="C186" s="5"/>
      <c r="D186" s="5"/>
      <c r="E186" s="5"/>
      <c r="F186" s="5"/>
      <c r="G186" s="5"/>
      <c r="H186" s="5"/>
      <c r="I186" s="5"/>
      <c r="J186" s="5"/>
      <c r="K186" s="5"/>
      <c r="L186" s="5"/>
      <c r="M186" s="5"/>
      <c r="N186" s="5"/>
      <c r="O186" s="5"/>
      <c r="P186" s="5"/>
      <c r="Q186" s="5"/>
      <c r="R186" s="5"/>
      <c r="S186" s="5"/>
      <c r="T186" s="5"/>
      <c r="U186" s="5"/>
      <c r="V186" s="5"/>
      <c r="W186" s="5"/>
    </row>
    <row r="187" spans="1:23" ht="14.25" customHeight="1" x14ac:dyDescent="0.25">
      <c r="A187" s="60" t="s">
        <v>1862</v>
      </c>
      <c r="B187" s="60"/>
      <c r="C187" s="60"/>
      <c r="D187" s="60"/>
      <c r="E187" s="60"/>
      <c r="F187" s="60"/>
      <c r="G187" s="60"/>
      <c r="H187" s="60"/>
      <c r="I187" s="60"/>
      <c r="J187" s="60"/>
      <c r="K187" s="60"/>
      <c r="L187" s="60"/>
      <c r="M187" s="60"/>
      <c r="N187" s="60"/>
      <c r="O187" s="60"/>
      <c r="P187" s="60"/>
      <c r="Q187" s="60"/>
      <c r="R187" s="60"/>
      <c r="S187" s="60"/>
      <c r="T187" s="60"/>
      <c r="U187" s="60"/>
      <c r="V187" s="5"/>
      <c r="W187" s="5"/>
    </row>
    <row r="188" spans="1:23" ht="14.65" customHeight="1" x14ac:dyDescent="0.25">
      <c r="A188" s="57" t="s">
        <v>1505</v>
      </c>
      <c r="B188" s="57"/>
      <c r="C188" s="57"/>
      <c r="D188" s="57"/>
      <c r="E188" s="57"/>
      <c r="F188" s="57"/>
      <c r="G188" s="57"/>
      <c r="H188" s="57"/>
      <c r="I188" s="57"/>
      <c r="J188" s="57"/>
      <c r="K188" s="5"/>
      <c r="L188" s="5"/>
      <c r="M188" s="5"/>
      <c r="N188" s="5"/>
      <c r="O188" s="5"/>
      <c r="P188" s="5"/>
      <c r="Q188" s="5"/>
      <c r="R188" s="5"/>
      <c r="S188" s="5"/>
      <c r="T188" s="5"/>
      <c r="U188" s="5"/>
      <c r="V188" s="5"/>
      <c r="W188" s="5"/>
    </row>
    <row r="189" spans="1:23" ht="14.65" customHeight="1" x14ac:dyDescent="0.25">
      <c r="A189" s="59" t="s">
        <v>1863</v>
      </c>
      <c r="B189" s="59"/>
      <c r="C189" s="59"/>
      <c r="D189" s="59"/>
      <c r="E189" s="59"/>
      <c r="F189" s="59"/>
      <c r="G189" s="59"/>
      <c r="H189" s="38"/>
      <c r="I189" s="38"/>
      <c r="J189" s="38"/>
      <c r="K189" s="5"/>
      <c r="L189" s="5"/>
      <c r="M189" s="5"/>
      <c r="N189" s="5"/>
      <c r="O189" s="5"/>
      <c r="P189" s="5"/>
      <c r="Q189" s="5"/>
      <c r="R189" s="5"/>
      <c r="S189" s="5"/>
      <c r="T189" s="5"/>
      <c r="U189" s="5"/>
      <c r="V189" s="5"/>
      <c r="W189" s="5"/>
    </row>
    <row r="190" spans="1:23" ht="14.65" customHeight="1" x14ac:dyDescent="0.25">
      <c r="A190" s="59"/>
      <c r="B190" s="59"/>
      <c r="C190" s="59"/>
      <c r="D190" s="59"/>
      <c r="E190" s="59"/>
      <c r="F190" s="59"/>
      <c r="G190" s="59"/>
      <c r="H190" s="38"/>
      <c r="I190" s="38"/>
      <c r="J190" s="38"/>
      <c r="K190" s="5"/>
      <c r="L190" s="5"/>
      <c r="M190" s="5"/>
      <c r="N190" s="5"/>
      <c r="O190" s="5"/>
      <c r="P190" s="5"/>
      <c r="Q190" s="5"/>
      <c r="R190" s="5"/>
      <c r="S190" s="5"/>
      <c r="T190" s="5"/>
      <c r="U190" s="5"/>
      <c r="V190" s="5"/>
      <c r="W190" s="5"/>
    </row>
    <row r="191" spans="1:23" ht="14.65" customHeight="1" x14ac:dyDescent="0.25">
      <c r="A191" s="39" t="s">
        <v>1503</v>
      </c>
      <c r="B191" s="5"/>
      <c r="C191" s="5"/>
      <c r="D191" s="5"/>
      <c r="E191" s="5"/>
      <c r="F191" s="5"/>
      <c r="G191" s="5"/>
      <c r="H191" s="5"/>
      <c r="I191" s="5"/>
      <c r="J191" s="5"/>
      <c r="K191" s="5"/>
      <c r="L191" s="5"/>
      <c r="M191" s="5"/>
      <c r="N191" s="5"/>
      <c r="O191" s="5"/>
      <c r="P191" s="5"/>
      <c r="Q191" s="5"/>
      <c r="R191" s="5"/>
      <c r="S191" s="5"/>
      <c r="T191" s="5"/>
      <c r="U191" s="5"/>
      <c r="V191" s="5"/>
      <c r="W191" s="5"/>
    </row>
    <row r="192" spans="1:23" ht="14.65" customHeight="1" x14ac:dyDescent="0.25">
      <c r="A192" s="36" t="s">
        <v>1864</v>
      </c>
      <c r="B192" s="5"/>
      <c r="C192" s="5"/>
      <c r="D192" s="5"/>
      <c r="E192" s="5"/>
      <c r="F192" s="5"/>
      <c r="G192" s="5"/>
      <c r="H192" s="5"/>
      <c r="I192" s="5"/>
      <c r="J192" s="5"/>
      <c r="K192" s="5"/>
      <c r="L192" s="5"/>
      <c r="M192" s="5"/>
      <c r="N192" s="5"/>
      <c r="O192" s="5"/>
      <c r="P192" s="5"/>
      <c r="Q192" s="5"/>
      <c r="R192" s="5"/>
      <c r="S192" s="5"/>
      <c r="T192" s="5"/>
      <c r="U192" s="5"/>
      <c r="V192" s="5"/>
      <c r="W192" s="5"/>
    </row>
    <row r="193" spans="1:23" x14ac:dyDescent="0.25">
      <c r="A193" s="5"/>
      <c r="B193" s="5"/>
      <c r="C193" s="5"/>
      <c r="D193" s="5"/>
      <c r="E193" s="5"/>
      <c r="F193" s="5"/>
      <c r="G193" s="5"/>
      <c r="H193" s="5"/>
      <c r="I193" s="5"/>
      <c r="J193" s="5"/>
      <c r="K193" s="5"/>
      <c r="L193" s="5"/>
      <c r="M193" s="5"/>
      <c r="N193" s="5"/>
      <c r="O193" s="5"/>
      <c r="P193" s="5"/>
      <c r="Q193" s="5"/>
      <c r="R193" s="5"/>
      <c r="S193" s="5"/>
      <c r="T193" s="5"/>
      <c r="U193" s="5"/>
      <c r="V193" s="5"/>
      <c r="W193" s="5"/>
    </row>
    <row r="194" spans="1:23" ht="15" customHeight="1" x14ac:dyDescent="0.25">
      <c r="A194" s="57" t="s">
        <v>1865</v>
      </c>
      <c r="B194" s="57"/>
      <c r="C194" s="57"/>
      <c r="D194" s="57"/>
      <c r="E194" s="57"/>
      <c r="F194" s="57"/>
      <c r="G194" s="57"/>
      <c r="H194" s="57"/>
      <c r="I194" s="57"/>
      <c r="J194" s="57"/>
      <c r="K194" s="5"/>
      <c r="L194" s="5"/>
      <c r="M194" s="5"/>
      <c r="N194" s="5"/>
      <c r="O194" s="5"/>
      <c r="P194" s="5"/>
      <c r="Q194" s="5"/>
      <c r="R194" s="5"/>
      <c r="S194" s="5"/>
      <c r="T194" s="5"/>
      <c r="U194" s="5"/>
      <c r="V194" s="5"/>
      <c r="W194" s="5"/>
    </row>
    <row r="195" spans="1:23" x14ac:dyDescent="0.25">
      <c r="A195" s="5"/>
      <c r="B195" s="5"/>
      <c r="C195" s="5"/>
      <c r="D195" s="5"/>
      <c r="E195" s="5"/>
      <c r="F195" s="5"/>
      <c r="G195" s="5"/>
      <c r="H195" s="5"/>
      <c r="I195" s="5"/>
      <c r="J195" s="5"/>
      <c r="K195" s="5"/>
      <c r="L195" s="5"/>
      <c r="M195" s="5"/>
      <c r="N195" s="5"/>
      <c r="O195" s="5"/>
      <c r="P195" s="5"/>
      <c r="Q195" s="5"/>
      <c r="R195" s="5"/>
      <c r="S195" s="5"/>
      <c r="T195" s="5"/>
      <c r="U195" s="5"/>
      <c r="V195" s="5"/>
      <c r="W195" s="5"/>
    </row>
    <row r="196" spans="1:23" x14ac:dyDescent="0.25">
      <c r="A196" s="9" t="s">
        <v>1508</v>
      </c>
      <c r="K196" s="5"/>
      <c r="L196" s="5"/>
      <c r="M196" s="5"/>
      <c r="N196" s="5"/>
      <c r="O196" s="5"/>
      <c r="P196" s="5"/>
      <c r="Q196" s="5"/>
      <c r="R196" s="5"/>
      <c r="S196" s="5"/>
      <c r="T196" s="5"/>
      <c r="U196" s="5"/>
      <c r="V196" s="5"/>
      <c r="W196" s="5"/>
    </row>
    <row r="197" spans="1:23" x14ac:dyDescent="0.25">
      <c r="K197" s="5"/>
      <c r="L197" s="5"/>
      <c r="M197" s="5"/>
      <c r="N197" s="5"/>
      <c r="O197" s="5"/>
      <c r="P197" s="5"/>
      <c r="Q197" s="5"/>
      <c r="R197" s="5"/>
      <c r="S197" s="5"/>
      <c r="T197" s="5"/>
      <c r="U197" s="5"/>
      <c r="V197" s="5"/>
      <c r="W197" s="5"/>
    </row>
    <row r="198" spans="1:23" ht="14.65" customHeight="1" x14ac:dyDescent="0.25">
      <c r="A198" s="47" t="s">
        <v>1866</v>
      </c>
      <c r="B198" s="47"/>
      <c r="C198" s="47"/>
      <c r="D198" s="47"/>
      <c r="E198" s="47"/>
      <c r="F198" s="47"/>
      <c r="G198" s="47"/>
      <c r="H198" s="47"/>
      <c r="I198" s="47"/>
      <c r="J198" s="47"/>
      <c r="K198" s="5"/>
      <c r="L198" s="5"/>
      <c r="M198" s="5"/>
      <c r="N198" s="5"/>
      <c r="O198" s="5"/>
      <c r="P198" s="5"/>
      <c r="Q198" s="5"/>
      <c r="R198" s="5"/>
      <c r="S198" s="5"/>
      <c r="T198" s="5"/>
      <c r="U198" s="5"/>
      <c r="V198" s="5"/>
      <c r="W198" s="5"/>
    </row>
    <row r="199" spans="1:23" ht="15" customHeight="1" x14ac:dyDescent="0.25">
      <c r="A199" s="47" t="s">
        <v>1867</v>
      </c>
      <c r="B199" s="47"/>
      <c r="C199" s="47"/>
      <c r="D199" s="47"/>
      <c r="E199" s="47"/>
      <c r="F199" s="47"/>
      <c r="G199" s="47"/>
      <c r="H199" s="47"/>
      <c r="I199" s="47"/>
      <c r="J199" s="47"/>
      <c r="K199" s="5"/>
      <c r="L199" s="5"/>
      <c r="M199" s="5"/>
      <c r="N199" s="5"/>
      <c r="O199" s="5"/>
      <c r="P199" s="5"/>
      <c r="Q199" s="5"/>
      <c r="R199" s="5"/>
      <c r="S199" s="5"/>
      <c r="T199" s="5"/>
      <c r="U199" s="5"/>
      <c r="V199" s="5"/>
      <c r="W199" s="5"/>
    </row>
    <row r="200" spans="1:23" x14ac:dyDescent="0.25">
      <c r="K200" s="5"/>
      <c r="L200" s="5"/>
      <c r="M200" s="5"/>
      <c r="N200" s="5"/>
      <c r="O200" s="5"/>
      <c r="P200" s="5"/>
      <c r="Q200" s="5"/>
      <c r="R200" s="5"/>
      <c r="S200" s="5"/>
      <c r="T200" s="5"/>
      <c r="U200" s="5"/>
      <c r="V200" s="5"/>
      <c r="W200" s="5"/>
    </row>
    <row r="201" spans="1:23" ht="15" customHeight="1" x14ac:dyDescent="0.25">
      <c r="A201" s="52" t="s">
        <v>1512</v>
      </c>
      <c r="B201" s="52"/>
      <c r="C201" s="52"/>
      <c r="D201" s="52"/>
      <c r="E201" s="52"/>
      <c r="F201" s="52"/>
      <c r="G201" s="52"/>
      <c r="H201" s="52"/>
      <c r="I201" s="52"/>
      <c r="J201" s="52"/>
      <c r="K201" s="52"/>
      <c r="L201" s="52"/>
      <c r="M201" s="52"/>
      <c r="N201" s="52"/>
      <c r="O201" s="52"/>
      <c r="P201" s="52"/>
      <c r="Q201" s="52"/>
      <c r="R201" s="52"/>
      <c r="S201" s="52"/>
      <c r="T201" s="52"/>
      <c r="U201" s="52"/>
      <c r="V201" s="52"/>
      <c r="W201" s="52"/>
    </row>
    <row r="202" spans="1:23"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c r="W202" s="52"/>
    </row>
    <row r="203" spans="1:23"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c r="W203" s="52"/>
    </row>
    <row r="204" spans="1:23"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c r="W204" s="52"/>
    </row>
    <row r="205" spans="1:23"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c r="W205" s="52"/>
    </row>
    <row r="206" spans="1:23"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c r="W206" s="52"/>
    </row>
    <row r="207" spans="1:23"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c r="W207" s="52"/>
    </row>
    <row r="208" spans="1:23"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c r="W208" s="52"/>
    </row>
  </sheetData>
  <mergeCells count="7">
    <mergeCell ref="A6:W8"/>
    <mergeCell ref="A194:J194"/>
    <mergeCell ref="A201:W208"/>
    <mergeCell ref="A188:J188"/>
    <mergeCell ref="A198:J199"/>
    <mergeCell ref="A189:G190"/>
    <mergeCell ref="A187:U187"/>
  </mergeCells>
  <pageMargins left="0.3" right="0.05" top="0.05" bottom="0.4" header="0.315" footer="0.05"/>
  <pageSetup paperSize="9" scale="35" fitToHeight="0" orientation="landscape" r:id="rId1"/>
  <headerFooter>
    <oddFooter>&amp;C_x000D_&amp;1#&amp;"Calibri"&amp;10&amp;K000000 PUBLIC&amp;RPage &amp;P of &amp;N&amp;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6:S1570"/>
  <sheetViews>
    <sheetView topLeftCell="A326" zoomScaleNormal="100" workbookViewId="0">
      <selection activeCell="B337" sqref="B337"/>
    </sheetView>
  </sheetViews>
  <sheetFormatPr defaultColWidth="15.5703125" defaultRowHeight="15" x14ac:dyDescent="0.25"/>
  <cols>
    <col min="1" max="1" width="42.5703125" style="1" customWidth="1"/>
    <col min="2" max="2" width="81.7109375" style="1" bestFit="1" customWidth="1"/>
    <col min="3" max="3" width="15.5703125" style="1" customWidth="1"/>
    <col min="4" max="4" width="30.5703125" style="1" customWidth="1"/>
    <col min="5" max="6" width="15.5703125" style="1" customWidth="1"/>
    <col min="7" max="7" width="15.5703125" style="5" customWidth="1"/>
    <col min="8" max="8" width="20.5703125" style="5" customWidth="1"/>
    <col min="9" max="9" width="25.5703125" style="4" customWidth="1"/>
    <col min="10" max="16" width="25.5703125" style="1" customWidth="1"/>
    <col min="17" max="17" width="15.5703125" style="1" customWidth="1"/>
    <col min="18" max="16384" width="15.5703125" style="1"/>
  </cols>
  <sheetData>
    <row r="6" spans="1:19" ht="15" customHeight="1" x14ac:dyDescent="0.25">
      <c r="A6" s="62" t="s">
        <v>0</v>
      </c>
      <c r="B6" s="63"/>
      <c r="C6" s="63"/>
      <c r="D6" s="63"/>
      <c r="E6" s="63"/>
      <c r="F6" s="63"/>
      <c r="G6" s="37"/>
      <c r="H6" s="7"/>
      <c r="I6" s="7"/>
      <c r="J6" s="7"/>
      <c r="K6" s="7"/>
      <c r="L6" s="7"/>
      <c r="M6" s="7"/>
      <c r="N6" s="7"/>
      <c r="O6" s="7"/>
      <c r="P6" s="7"/>
      <c r="Q6" s="7"/>
      <c r="R6" s="7"/>
      <c r="S6" s="7"/>
    </row>
    <row r="7" spans="1:19" x14ac:dyDescent="0.25">
      <c r="A7" s="62"/>
      <c r="B7" s="63"/>
      <c r="C7" s="63"/>
      <c r="D7" s="63"/>
      <c r="E7" s="63"/>
      <c r="F7" s="63"/>
      <c r="G7" s="37"/>
      <c r="H7" s="7"/>
      <c r="I7" s="7"/>
      <c r="J7" s="7"/>
      <c r="K7" s="7"/>
      <c r="L7" s="7"/>
      <c r="M7" s="7"/>
      <c r="N7" s="7"/>
      <c r="O7" s="7"/>
      <c r="P7" s="7"/>
      <c r="Q7" s="7"/>
      <c r="R7" s="7"/>
      <c r="S7" s="7"/>
    </row>
    <row r="9" spans="1:19" ht="30" x14ac:dyDescent="0.35">
      <c r="A9" s="2" t="s">
        <v>1</v>
      </c>
      <c r="B9" s="31" t="s">
        <v>1868</v>
      </c>
    </row>
    <row r="10" spans="1:19" ht="15.75" x14ac:dyDescent="0.25">
      <c r="A10" s="3" t="str">
        <f>'Managed Funds'!A11</f>
        <v>As at 08 September 2025</v>
      </c>
      <c r="B10" s="19"/>
    </row>
    <row r="12" spans="1:19" ht="45" x14ac:dyDescent="0.25">
      <c r="A12" s="7" t="s">
        <v>1869</v>
      </c>
      <c r="B12" s="7" t="s">
        <v>1870</v>
      </c>
      <c r="C12" s="7" t="s">
        <v>1871</v>
      </c>
      <c r="D12" s="13" t="s">
        <v>1872</v>
      </c>
      <c r="E12" s="7" t="s">
        <v>1873</v>
      </c>
      <c r="F12" s="7" t="s">
        <v>9</v>
      </c>
      <c r="G12" s="15" t="s">
        <v>10</v>
      </c>
      <c r="H12" s="7" t="s">
        <v>11</v>
      </c>
      <c r="I12" s="7" t="s">
        <v>12</v>
      </c>
      <c r="J12" s="7" t="s">
        <v>13</v>
      </c>
      <c r="K12" s="7" t="s">
        <v>14</v>
      </c>
      <c r="L12" s="7" t="s">
        <v>15</v>
      </c>
      <c r="M12" s="7" t="s">
        <v>16</v>
      </c>
      <c r="N12" s="7" t="s">
        <v>17</v>
      </c>
      <c r="O12" s="7" t="s">
        <v>18</v>
      </c>
      <c r="P12" s="7" t="s">
        <v>19</v>
      </c>
    </row>
    <row r="13" spans="1:19" ht="15" customHeight="1" x14ac:dyDescent="0.25">
      <c r="A13" s="8" t="s">
        <v>1874</v>
      </c>
      <c r="B13" s="8" t="s">
        <v>1875</v>
      </c>
      <c r="C13" s="8" t="s">
        <v>1876</v>
      </c>
      <c r="D13" s="29" t="s">
        <v>1877</v>
      </c>
      <c r="E13" s="8" t="s">
        <v>195</v>
      </c>
      <c r="F13" s="8" t="s">
        <v>24</v>
      </c>
      <c r="G13" s="25"/>
      <c r="H13" s="27"/>
      <c r="I13" s="8"/>
      <c r="J13" s="8"/>
      <c r="K13" s="8"/>
      <c r="L13" s="8"/>
      <c r="M13" s="8"/>
      <c r="N13" s="8"/>
      <c r="O13" s="8"/>
      <c r="P13" s="8"/>
    </row>
    <row r="14" spans="1:19" ht="15" customHeight="1" x14ac:dyDescent="0.25">
      <c r="A14" s="8" t="s">
        <v>1878</v>
      </c>
      <c r="B14" s="8" t="s">
        <v>1879</v>
      </c>
      <c r="C14" s="8" t="s">
        <v>1880</v>
      </c>
      <c r="D14" s="29" t="s">
        <v>1881</v>
      </c>
      <c r="E14" s="8" t="s">
        <v>195</v>
      </c>
      <c r="F14" s="8" t="s">
        <v>24</v>
      </c>
      <c r="G14" s="25"/>
      <c r="H14" s="27"/>
      <c r="I14" s="8"/>
      <c r="J14" s="8"/>
      <c r="K14" s="8"/>
      <c r="L14" s="8"/>
      <c r="M14" s="8"/>
      <c r="N14" s="8"/>
      <c r="O14" s="8"/>
      <c r="P14" s="8"/>
    </row>
    <row r="15" spans="1:19" ht="15" customHeight="1" x14ac:dyDescent="0.25">
      <c r="A15" s="8" t="s">
        <v>1878</v>
      </c>
      <c r="B15" s="8" t="s">
        <v>1882</v>
      </c>
      <c r="C15" s="8" t="s">
        <v>1883</v>
      </c>
      <c r="D15" s="29" t="s">
        <v>1881</v>
      </c>
      <c r="E15" s="8" t="s">
        <v>195</v>
      </c>
      <c r="F15" s="8" t="s">
        <v>24</v>
      </c>
      <c r="G15" s="25"/>
      <c r="H15" s="27"/>
      <c r="I15" s="8"/>
      <c r="J15" s="8"/>
      <c r="K15" s="8"/>
      <c r="L15" s="8"/>
      <c r="M15" s="8"/>
      <c r="N15" s="8"/>
      <c r="O15" s="8"/>
      <c r="P15" s="8"/>
    </row>
    <row r="16" spans="1:19" ht="30" x14ac:dyDescent="0.25">
      <c r="A16" s="8" t="s">
        <v>1878</v>
      </c>
      <c r="B16" s="8" t="s">
        <v>1884</v>
      </c>
      <c r="C16" s="8" t="s">
        <v>1885</v>
      </c>
      <c r="D16" s="29" t="s">
        <v>1881</v>
      </c>
      <c r="E16" s="8" t="s">
        <v>195</v>
      </c>
      <c r="F16" s="8" t="s">
        <v>24</v>
      </c>
      <c r="G16" s="25"/>
      <c r="H16" s="27"/>
      <c r="I16" s="8"/>
      <c r="J16" s="8"/>
      <c r="K16" s="8"/>
      <c r="L16" s="8"/>
      <c r="M16" s="8"/>
      <c r="N16" s="8"/>
      <c r="O16" s="8"/>
      <c r="P16" s="8"/>
    </row>
    <row r="17" spans="1:16" x14ac:dyDescent="0.25">
      <c r="A17" s="8" t="s">
        <v>1874</v>
      </c>
      <c r="B17" s="8" t="s">
        <v>1886</v>
      </c>
      <c r="C17" s="8" t="s">
        <v>1887</v>
      </c>
      <c r="D17" s="29" t="s">
        <v>1877</v>
      </c>
      <c r="E17" s="8" t="s">
        <v>195</v>
      </c>
      <c r="F17" s="8" t="s">
        <v>24</v>
      </c>
      <c r="G17" s="25"/>
      <c r="H17" s="27"/>
      <c r="I17" s="8"/>
      <c r="J17" s="8"/>
      <c r="K17" s="8"/>
      <c r="L17" s="8"/>
      <c r="M17" s="8"/>
      <c r="N17" s="8"/>
      <c r="O17" s="8"/>
      <c r="P17" s="8"/>
    </row>
    <row r="18" spans="1:16" x14ac:dyDescent="0.25">
      <c r="A18" s="8" t="s">
        <v>1874</v>
      </c>
      <c r="B18" s="8" t="s">
        <v>1888</v>
      </c>
      <c r="C18" s="8" t="s">
        <v>1889</v>
      </c>
      <c r="D18" s="29" t="s">
        <v>1877</v>
      </c>
      <c r="E18" s="8" t="s">
        <v>195</v>
      </c>
      <c r="F18" s="8" t="s">
        <v>24</v>
      </c>
      <c r="G18" s="25"/>
      <c r="H18" s="27"/>
      <c r="I18" s="8"/>
      <c r="J18" s="8"/>
      <c r="K18" s="8"/>
      <c r="L18" s="8"/>
      <c r="M18" s="8"/>
      <c r="N18" s="8"/>
      <c r="O18" s="8"/>
      <c r="P18" s="8"/>
    </row>
    <row r="19" spans="1:16" x14ac:dyDescent="0.25">
      <c r="A19" s="8" t="s">
        <v>1874</v>
      </c>
      <c r="B19" s="8" t="s">
        <v>1890</v>
      </c>
      <c r="C19" s="8" t="s">
        <v>1891</v>
      </c>
      <c r="D19" s="29" t="s">
        <v>1877</v>
      </c>
      <c r="E19" s="8" t="s">
        <v>195</v>
      </c>
      <c r="F19" s="8" t="s">
        <v>24</v>
      </c>
      <c r="G19" s="25"/>
      <c r="H19" s="27"/>
      <c r="I19" s="8"/>
      <c r="J19" s="8"/>
      <c r="K19" s="8"/>
      <c r="L19" s="8"/>
      <c r="M19" s="8"/>
      <c r="N19" s="8"/>
      <c r="O19" s="8"/>
      <c r="P19" s="8"/>
    </row>
    <row r="20" spans="1:16" x14ac:dyDescent="0.25">
      <c r="A20" s="8" t="s">
        <v>1874</v>
      </c>
      <c r="B20" s="8" t="s">
        <v>1892</v>
      </c>
      <c r="C20" s="8" t="s">
        <v>1893</v>
      </c>
      <c r="D20" s="29" t="s">
        <v>1894</v>
      </c>
      <c r="E20" s="8" t="s">
        <v>195</v>
      </c>
      <c r="F20" s="8" t="s">
        <v>24</v>
      </c>
      <c r="G20" s="25"/>
      <c r="H20" s="27"/>
      <c r="I20" s="8"/>
      <c r="J20" s="8"/>
      <c r="K20" s="8"/>
      <c r="L20" s="8"/>
      <c r="M20" s="8"/>
      <c r="N20" s="8"/>
      <c r="O20" s="8"/>
      <c r="P20" s="8"/>
    </row>
    <row r="21" spans="1:16" x14ac:dyDescent="0.25">
      <c r="A21" s="8" t="s">
        <v>1874</v>
      </c>
      <c r="B21" s="8" t="s">
        <v>1895</v>
      </c>
      <c r="C21" s="8" t="s">
        <v>1896</v>
      </c>
      <c r="D21" s="29" t="s">
        <v>1877</v>
      </c>
      <c r="E21" s="8" t="s">
        <v>195</v>
      </c>
      <c r="F21" s="8" t="s">
        <v>24</v>
      </c>
      <c r="G21" s="25"/>
      <c r="H21" s="27"/>
      <c r="I21" s="8"/>
      <c r="J21" s="8"/>
      <c r="K21" s="8"/>
      <c r="L21" s="8"/>
      <c r="M21" s="8"/>
      <c r="N21" s="8"/>
      <c r="O21" s="8"/>
      <c r="P21" s="8"/>
    </row>
    <row r="22" spans="1:16" ht="15" customHeight="1" x14ac:dyDescent="0.25">
      <c r="A22" s="8" t="s">
        <v>1874</v>
      </c>
      <c r="B22" s="8" t="s">
        <v>1897</v>
      </c>
      <c r="C22" s="8" t="s">
        <v>1898</v>
      </c>
      <c r="D22" s="29" t="s">
        <v>1877</v>
      </c>
      <c r="E22" s="8" t="s">
        <v>195</v>
      </c>
      <c r="F22" s="8" t="s">
        <v>24</v>
      </c>
      <c r="G22" s="25"/>
      <c r="H22" s="27"/>
      <c r="I22" s="8"/>
      <c r="J22" s="8"/>
      <c r="K22" s="8"/>
      <c r="L22" s="8"/>
      <c r="M22" s="8"/>
      <c r="N22" s="8"/>
      <c r="O22" s="8"/>
      <c r="P22" s="8"/>
    </row>
    <row r="23" spans="1:16" ht="15" customHeight="1" x14ac:dyDescent="0.25">
      <c r="A23" s="8" t="s">
        <v>1878</v>
      </c>
      <c r="B23" s="8" t="s">
        <v>1899</v>
      </c>
      <c r="C23" s="8" t="s">
        <v>1900</v>
      </c>
      <c r="D23" s="29" t="s">
        <v>1881</v>
      </c>
      <c r="E23" s="8" t="s">
        <v>24</v>
      </c>
      <c r="F23" s="8" t="s">
        <v>24</v>
      </c>
      <c r="G23" s="25"/>
      <c r="H23" s="27"/>
      <c r="I23" s="8"/>
      <c r="J23" s="8"/>
      <c r="K23" s="8"/>
      <c r="L23" s="8"/>
      <c r="M23" s="8"/>
      <c r="N23" s="8"/>
      <c r="O23" s="8"/>
      <c r="P23" s="8"/>
    </row>
    <row r="24" spans="1:16" ht="30" x14ac:dyDescent="0.25">
      <c r="A24" s="8" t="s">
        <v>1878</v>
      </c>
      <c r="B24" s="8" t="s">
        <v>1901</v>
      </c>
      <c r="C24" s="8" t="s">
        <v>1902</v>
      </c>
      <c r="D24" s="29" t="s">
        <v>1881</v>
      </c>
      <c r="E24" s="8" t="s">
        <v>24</v>
      </c>
      <c r="F24" s="8" t="s">
        <v>24</v>
      </c>
      <c r="G24" s="25"/>
      <c r="H24" s="27"/>
      <c r="I24" s="8"/>
      <c r="J24" s="8"/>
      <c r="K24" s="8"/>
      <c r="L24" s="8"/>
      <c r="M24" s="8"/>
      <c r="N24" s="8"/>
      <c r="O24" s="8"/>
      <c r="P24" s="8"/>
    </row>
    <row r="25" spans="1:16" x14ac:dyDescent="0.25">
      <c r="A25" s="8" t="s">
        <v>1874</v>
      </c>
      <c r="B25" s="8" t="s">
        <v>1903</v>
      </c>
      <c r="C25" s="8" t="s">
        <v>1904</v>
      </c>
      <c r="D25" s="29" t="s">
        <v>1877</v>
      </c>
      <c r="E25" s="8" t="s">
        <v>195</v>
      </c>
      <c r="F25" s="8" t="s">
        <v>24</v>
      </c>
      <c r="G25" s="25"/>
      <c r="H25" s="27"/>
      <c r="I25" s="8"/>
      <c r="J25" s="8"/>
      <c r="K25" s="8"/>
      <c r="L25" s="8"/>
      <c r="M25" s="8"/>
      <c r="N25" s="8"/>
      <c r="O25" s="8"/>
      <c r="P25" s="8"/>
    </row>
    <row r="26" spans="1:16" x14ac:dyDescent="0.25">
      <c r="A26" s="8" t="s">
        <v>1874</v>
      </c>
      <c r="B26" s="8" t="s">
        <v>1905</v>
      </c>
      <c r="C26" s="8" t="s">
        <v>1906</v>
      </c>
      <c r="D26" s="29" t="s">
        <v>1877</v>
      </c>
      <c r="E26" s="8" t="s">
        <v>24</v>
      </c>
      <c r="F26" s="8" t="s">
        <v>24</v>
      </c>
      <c r="G26" s="25"/>
      <c r="H26" s="27"/>
      <c r="I26" s="8"/>
      <c r="J26" s="8"/>
      <c r="K26" s="8"/>
      <c r="L26" s="8"/>
      <c r="M26" s="8"/>
      <c r="N26" s="8"/>
      <c r="O26" s="8"/>
      <c r="P26" s="8"/>
    </row>
    <row r="27" spans="1:16" x14ac:dyDescent="0.25">
      <c r="A27" s="8" t="s">
        <v>1874</v>
      </c>
      <c r="B27" s="8" t="s">
        <v>1907</v>
      </c>
      <c r="C27" s="8" t="s">
        <v>1908</v>
      </c>
      <c r="D27" s="29" t="s">
        <v>1877</v>
      </c>
      <c r="E27" s="8" t="s">
        <v>195</v>
      </c>
      <c r="F27" s="8" t="s">
        <v>24</v>
      </c>
      <c r="G27" s="25"/>
      <c r="H27" s="27"/>
      <c r="I27" s="8"/>
      <c r="J27" s="8"/>
      <c r="K27" s="8"/>
      <c r="L27" s="8"/>
      <c r="M27" s="8"/>
      <c r="N27" s="8"/>
      <c r="O27" s="8"/>
      <c r="P27" s="8"/>
    </row>
    <row r="28" spans="1:16" x14ac:dyDescent="0.25">
      <c r="A28" s="8" t="s">
        <v>1874</v>
      </c>
      <c r="B28" s="8" t="s">
        <v>1909</v>
      </c>
      <c r="C28" s="8" t="s">
        <v>1910</v>
      </c>
      <c r="D28" s="29" t="s">
        <v>1877</v>
      </c>
      <c r="E28" s="8" t="s">
        <v>195</v>
      </c>
      <c r="F28" s="8" t="s">
        <v>24</v>
      </c>
      <c r="G28" s="25"/>
      <c r="H28" s="27"/>
      <c r="I28" s="8"/>
      <c r="J28" s="8"/>
      <c r="K28" s="8"/>
      <c r="L28" s="8"/>
      <c r="M28" s="8"/>
      <c r="N28" s="8"/>
      <c r="O28" s="8"/>
      <c r="P28" s="8"/>
    </row>
    <row r="29" spans="1:16" x14ac:dyDescent="0.25">
      <c r="A29" s="8" t="s">
        <v>1874</v>
      </c>
      <c r="B29" s="8" t="s">
        <v>1911</v>
      </c>
      <c r="C29" s="8" t="s">
        <v>1912</v>
      </c>
      <c r="D29" s="29" t="s">
        <v>1913</v>
      </c>
      <c r="E29" s="8" t="s">
        <v>195</v>
      </c>
      <c r="F29" s="8" t="s">
        <v>24</v>
      </c>
      <c r="G29" s="25"/>
      <c r="H29" s="27"/>
      <c r="I29" s="8"/>
      <c r="J29" s="8"/>
      <c r="K29" s="8"/>
      <c r="L29" s="8"/>
      <c r="M29" s="8"/>
      <c r="N29" s="8"/>
      <c r="O29" s="8"/>
      <c r="P29" s="8"/>
    </row>
    <row r="30" spans="1:16" x14ac:dyDescent="0.25">
      <c r="A30" s="8" t="s">
        <v>1914</v>
      </c>
      <c r="B30" s="8" t="s">
        <v>1915</v>
      </c>
      <c r="C30" s="8" t="s">
        <v>1916</v>
      </c>
      <c r="D30" s="29" t="s">
        <v>1917</v>
      </c>
      <c r="E30" s="8" t="s">
        <v>24</v>
      </c>
      <c r="F30" s="8" t="s">
        <v>24</v>
      </c>
      <c r="G30" s="25">
        <v>100</v>
      </c>
      <c r="H30" s="27" t="str">
        <f>HYPERLINK("https://doc.morningstar.com/Document/026d7edd7988d3b051c24a441da9dceb.msdoc?clientid=fnz&amp;key=9c0e4d166b60ffd3","TMD")</f>
        <v>TMD</v>
      </c>
      <c r="I30" s="8" t="s">
        <v>25</v>
      </c>
      <c r="J30" s="8" t="s">
        <v>25</v>
      </c>
      <c r="K30" s="8" t="s">
        <v>25</v>
      </c>
      <c r="L30" s="8" t="s">
        <v>25</v>
      </c>
      <c r="M30" s="8" t="s">
        <v>27</v>
      </c>
      <c r="N30" s="8" t="s">
        <v>27</v>
      </c>
      <c r="O30" s="8" t="s">
        <v>27</v>
      </c>
      <c r="P30" s="8" t="s">
        <v>27</v>
      </c>
    </row>
    <row r="31" spans="1:16" x14ac:dyDescent="0.25">
      <c r="A31" s="8" t="s">
        <v>1914</v>
      </c>
      <c r="B31" s="8" t="s">
        <v>1918</v>
      </c>
      <c r="C31" s="8" t="s">
        <v>1919</v>
      </c>
      <c r="D31" s="29" t="s">
        <v>1917</v>
      </c>
      <c r="E31" s="8" t="s">
        <v>195</v>
      </c>
      <c r="F31" s="8" t="s">
        <v>24</v>
      </c>
      <c r="G31" s="25"/>
      <c r="H31" s="27" t="str">
        <f>HYPERLINK("https://doc.morningstar.com/Document/87ac57965d2940d60c5b21fad130b59e.msdoc?clientid=fnz&amp;key=9c0e4d166b60ffd3","TMD")</f>
        <v>TMD</v>
      </c>
      <c r="I31" s="8" t="s">
        <v>25</v>
      </c>
      <c r="J31" s="8" t="s">
        <v>25</v>
      </c>
      <c r="K31" s="8" t="s">
        <v>25</v>
      </c>
      <c r="L31" s="8" t="s">
        <v>25</v>
      </c>
      <c r="M31" s="8" t="s">
        <v>27</v>
      </c>
      <c r="N31" s="8" t="s">
        <v>27</v>
      </c>
      <c r="O31" s="8" t="s">
        <v>27</v>
      </c>
      <c r="P31" s="8" t="s">
        <v>27</v>
      </c>
    </row>
    <row r="32" spans="1:16" x14ac:dyDescent="0.25">
      <c r="A32" s="8" t="s">
        <v>1874</v>
      </c>
      <c r="B32" s="8" t="s">
        <v>1920</v>
      </c>
      <c r="C32" s="8" t="s">
        <v>1921</v>
      </c>
      <c r="D32" s="29" t="s">
        <v>1877</v>
      </c>
      <c r="E32" s="8" t="s">
        <v>195</v>
      </c>
      <c r="F32" s="8" t="s">
        <v>24</v>
      </c>
      <c r="G32" s="25"/>
      <c r="H32" s="27"/>
      <c r="I32" s="8"/>
      <c r="J32" s="8"/>
      <c r="K32" s="8"/>
      <c r="L32" s="8"/>
      <c r="M32" s="8"/>
      <c r="N32" s="8"/>
      <c r="O32" s="8"/>
      <c r="P32" s="8"/>
    </row>
    <row r="33" spans="1:16" x14ac:dyDescent="0.25">
      <c r="A33" s="8" t="s">
        <v>1874</v>
      </c>
      <c r="B33" s="8" t="s">
        <v>1922</v>
      </c>
      <c r="C33" s="8" t="s">
        <v>1923</v>
      </c>
      <c r="D33" s="29" t="s">
        <v>1877</v>
      </c>
      <c r="E33" s="8" t="s">
        <v>195</v>
      </c>
      <c r="F33" s="8" t="s">
        <v>24</v>
      </c>
      <c r="G33" s="25"/>
      <c r="H33" s="27"/>
      <c r="I33" s="8"/>
      <c r="J33" s="8"/>
      <c r="K33" s="8"/>
      <c r="L33" s="8"/>
      <c r="M33" s="8"/>
      <c r="N33" s="8"/>
      <c r="O33" s="8"/>
      <c r="P33" s="8"/>
    </row>
    <row r="34" spans="1:16" x14ac:dyDescent="0.25">
      <c r="A34" s="8" t="s">
        <v>1874</v>
      </c>
      <c r="B34" s="8" t="s">
        <v>1924</v>
      </c>
      <c r="C34" s="8" t="s">
        <v>1925</v>
      </c>
      <c r="D34" s="29" t="s">
        <v>1877</v>
      </c>
      <c r="E34" s="8" t="s">
        <v>24</v>
      </c>
      <c r="F34" s="8" t="s">
        <v>24</v>
      </c>
      <c r="G34" s="25"/>
      <c r="H34" s="27"/>
      <c r="I34" s="8"/>
      <c r="J34" s="8"/>
      <c r="K34" s="8"/>
      <c r="L34" s="8"/>
      <c r="M34" s="8"/>
      <c r="N34" s="8"/>
      <c r="O34" s="8"/>
      <c r="P34" s="8"/>
    </row>
    <row r="35" spans="1:16" x14ac:dyDescent="0.25">
      <c r="A35" s="8" t="s">
        <v>1874</v>
      </c>
      <c r="B35" s="8" t="s">
        <v>1926</v>
      </c>
      <c r="C35" s="8" t="s">
        <v>1927</v>
      </c>
      <c r="D35" s="29" t="s">
        <v>1913</v>
      </c>
      <c r="E35" s="8" t="s">
        <v>195</v>
      </c>
      <c r="F35" s="8" t="s">
        <v>24</v>
      </c>
      <c r="G35" s="25"/>
      <c r="H35" s="27"/>
      <c r="I35" s="8"/>
      <c r="J35" s="8"/>
      <c r="K35" s="8"/>
      <c r="L35" s="8"/>
      <c r="M35" s="8"/>
      <c r="N35" s="8"/>
      <c r="O35" s="8"/>
      <c r="P35" s="8"/>
    </row>
    <row r="36" spans="1:16" x14ac:dyDescent="0.25">
      <c r="A36" s="8" t="s">
        <v>1874</v>
      </c>
      <c r="B36" s="8" t="s">
        <v>1928</v>
      </c>
      <c r="C36" s="8" t="s">
        <v>1929</v>
      </c>
      <c r="D36" s="29" t="s">
        <v>1877</v>
      </c>
      <c r="E36" s="8" t="s">
        <v>195</v>
      </c>
      <c r="F36" s="8" t="s">
        <v>24</v>
      </c>
      <c r="G36" s="25"/>
      <c r="H36" s="27"/>
      <c r="I36" s="8"/>
      <c r="J36" s="8"/>
      <c r="K36" s="8"/>
      <c r="L36" s="8"/>
      <c r="M36" s="8"/>
      <c r="N36" s="8"/>
      <c r="O36" s="8"/>
      <c r="P36" s="8"/>
    </row>
    <row r="37" spans="1:16" x14ac:dyDescent="0.25">
      <c r="A37" s="8" t="s">
        <v>1874</v>
      </c>
      <c r="B37" s="8" t="s">
        <v>1930</v>
      </c>
      <c r="C37" s="8" t="s">
        <v>1931</v>
      </c>
      <c r="D37" s="29" t="s">
        <v>1877</v>
      </c>
      <c r="E37" s="8" t="s">
        <v>195</v>
      </c>
      <c r="F37" s="8" t="s">
        <v>24</v>
      </c>
      <c r="G37" s="25"/>
      <c r="H37" s="27"/>
      <c r="I37" s="8"/>
      <c r="J37" s="8"/>
      <c r="K37" s="8"/>
      <c r="L37" s="8"/>
      <c r="M37" s="8"/>
      <c r="N37" s="8"/>
      <c r="O37" s="8"/>
      <c r="P37" s="8"/>
    </row>
    <row r="38" spans="1:16" x14ac:dyDescent="0.25">
      <c r="A38" s="8" t="s">
        <v>1874</v>
      </c>
      <c r="B38" s="8" t="s">
        <v>1932</v>
      </c>
      <c r="C38" s="8" t="s">
        <v>1933</v>
      </c>
      <c r="D38" s="29" t="s">
        <v>1877</v>
      </c>
      <c r="E38" s="8" t="s">
        <v>195</v>
      </c>
      <c r="F38" s="8" t="s">
        <v>24</v>
      </c>
      <c r="G38" s="25"/>
      <c r="H38" s="27"/>
      <c r="I38" s="8"/>
      <c r="J38" s="8"/>
      <c r="K38" s="8"/>
      <c r="L38" s="8"/>
      <c r="M38" s="8"/>
      <c r="N38" s="8"/>
      <c r="O38" s="8"/>
      <c r="P38" s="8"/>
    </row>
    <row r="39" spans="1:16" x14ac:dyDescent="0.25">
      <c r="A39" s="8" t="s">
        <v>1874</v>
      </c>
      <c r="B39" s="8" t="s">
        <v>1934</v>
      </c>
      <c r="C39" s="8" t="s">
        <v>1935</v>
      </c>
      <c r="D39" s="29" t="s">
        <v>1877</v>
      </c>
      <c r="E39" s="8" t="s">
        <v>195</v>
      </c>
      <c r="F39" s="8" t="s">
        <v>24</v>
      </c>
      <c r="G39" s="25"/>
      <c r="H39" s="27"/>
      <c r="I39" s="8"/>
      <c r="J39" s="8"/>
      <c r="K39" s="8"/>
      <c r="L39" s="8"/>
      <c r="M39" s="8"/>
      <c r="N39" s="8"/>
      <c r="O39" s="8"/>
      <c r="P39" s="8"/>
    </row>
    <row r="40" spans="1:16" x14ac:dyDescent="0.25">
      <c r="A40" s="8" t="s">
        <v>1874</v>
      </c>
      <c r="B40" s="8" t="s">
        <v>1936</v>
      </c>
      <c r="C40" s="8" t="s">
        <v>1937</v>
      </c>
      <c r="D40" s="29" t="s">
        <v>1877</v>
      </c>
      <c r="E40" s="8" t="s">
        <v>195</v>
      </c>
      <c r="F40" s="8" t="s">
        <v>24</v>
      </c>
      <c r="G40" s="25"/>
      <c r="H40" s="27"/>
      <c r="I40" s="8"/>
      <c r="J40" s="8"/>
      <c r="K40" s="8"/>
      <c r="L40" s="8"/>
      <c r="M40" s="8"/>
      <c r="N40" s="8"/>
      <c r="O40" s="8"/>
      <c r="P40" s="8"/>
    </row>
    <row r="41" spans="1:16" x14ac:dyDescent="0.25">
      <c r="A41" s="8" t="s">
        <v>1874</v>
      </c>
      <c r="B41" s="8" t="s">
        <v>1938</v>
      </c>
      <c r="C41" s="8" t="s">
        <v>1939</v>
      </c>
      <c r="D41" s="29" t="s">
        <v>1877</v>
      </c>
      <c r="E41" s="8" t="s">
        <v>24</v>
      </c>
      <c r="F41" s="8" t="s">
        <v>24</v>
      </c>
      <c r="G41" s="25"/>
      <c r="H41" s="27"/>
      <c r="I41" s="8"/>
      <c r="J41" s="8"/>
      <c r="K41" s="8"/>
      <c r="L41" s="8"/>
      <c r="M41" s="8"/>
      <c r="N41" s="8"/>
      <c r="O41" s="8"/>
      <c r="P41" s="8"/>
    </row>
    <row r="42" spans="1:16" x14ac:dyDescent="0.25">
      <c r="A42" s="8" t="s">
        <v>1874</v>
      </c>
      <c r="B42" s="8" t="s">
        <v>1940</v>
      </c>
      <c r="C42" s="8" t="s">
        <v>1941</v>
      </c>
      <c r="D42" s="29" t="s">
        <v>1877</v>
      </c>
      <c r="E42" s="8" t="s">
        <v>195</v>
      </c>
      <c r="F42" s="8" t="s">
        <v>24</v>
      </c>
      <c r="G42" s="25"/>
      <c r="H42" s="27"/>
      <c r="I42" s="8"/>
      <c r="J42" s="8"/>
      <c r="K42" s="8"/>
      <c r="L42" s="8"/>
      <c r="M42" s="8"/>
      <c r="N42" s="8"/>
      <c r="O42" s="8"/>
      <c r="P42" s="8"/>
    </row>
    <row r="43" spans="1:16" x14ac:dyDescent="0.25">
      <c r="A43" s="8" t="s">
        <v>1874</v>
      </c>
      <c r="B43" s="8" t="s">
        <v>1942</v>
      </c>
      <c r="C43" s="8" t="s">
        <v>1943</v>
      </c>
      <c r="D43" s="29" t="s">
        <v>1877</v>
      </c>
      <c r="E43" s="8" t="s">
        <v>195</v>
      </c>
      <c r="F43" s="8" t="s">
        <v>24</v>
      </c>
      <c r="G43" s="25"/>
      <c r="H43" s="27"/>
      <c r="I43" s="8"/>
      <c r="J43" s="8"/>
      <c r="K43" s="8"/>
      <c r="L43" s="8"/>
      <c r="M43" s="8"/>
      <c r="N43" s="8"/>
      <c r="O43" s="8"/>
      <c r="P43" s="8"/>
    </row>
    <row r="44" spans="1:16" x14ac:dyDescent="0.25">
      <c r="A44" s="8" t="s">
        <v>1874</v>
      </c>
      <c r="B44" s="8" t="s">
        <v>1944</v>
      </c>
      <c r="C44" s="8" t="s">
        <v>1945</v>
      </c>
      <c r="D44" s="29" t="s">
        <v>1877</v>
      </c>
      <c r="E44" s="8" t="s">
        <v>195</v>
      </c>
      <c r="F44" s="8" t="s">
        <v>24</v>
      </c>
      <c r="G44" s="25"/>
      <c r="H44" s="27"/>
      <c r="I44" s="8"/>
      <c r="J44" s="8"/>
      <c r="K44" s="8"/>
      <c r="L44" s="8"/>
      <c r="M44" s="8"/>
      <c r="N44" s="8"/>
      <c r="O44" s="8"/>
      <c r="P44" s="8"/>
    </row>
    <row r="45" spans="1:16" x14ac:dyDescent="0.25">
      <c r="A45" s="8" t="s">
        <v>1874</v>
      </c>
      <c r="B45" s="8" t="s">
        <v>1946</v>
      </c>
      <c r="C45" s="8" t="s">
        <v>1947</v>
      </c>
      <c r="D45" s="29" t="s">
        <v>1877</v>
      </c>
      <c r="E45" s="8" t="s">
        <v>195</v>
      </c>
      <c r="F45" s="8" t="s">
        <v>24</v>
      </c>
      <c r="G45" s="25"/>
      <c r="H45" s="27"/>
      <c r="I45" s="8"/>
      <c r="J45" s="8"/>
      <c r="K45" s="8"/>
      <c r="L45" s="8"/>
      <c r="M45" s="8"/>
      <c r="N45" s="8"/>
      <c r="O45" s="8"/>
      <c r="P45" s="8"/>
    </row>
    <row r="46" spans="1:16" x14ac:dyDescent="0.25">
      <c r="A46" s="8" t="s">
        <v>1874</v>
      </c>
      <c r="B46" s="8" t="s">
        <v>1948</v>
      </c>
      <c r="C46" s="8" t="s">
        <v>1949</v>
      </c>
      <c r="D46" s="29" t="s">
        <v>1877</v>
      </c>
      <c r="E46" s="8" t="s">
        <v>195</v>
      </c>
      <c r="F46" s="8" t="s">
        <v>24</v>
      </c>
      <c r="G46" s="25"/>
      <c r="H46" s="27"/>
      <c r="I46" s="8"/>
      <c r="J46" s="8"/>
      <c r="K46" s="8"/>
      <c r="L46" s="8"/>
      <c r="M46" s="8"/>
      <c r="N46" s="8"/>
      <c r="O46" s="8"/>
      <c r="P46" s="8"/>
    </row>
    <row r="47" spans="1:16" x14ac:dyDescent="0.25">
      <c r="A47" s="8" t="s">
        <v>1914</v>
      </c>
      <c r="B47" s="8" t="s">
        <v>1950</v>
      </c>
      <c r="C47" s="8" t="s">
        <v>1951</v>
      </c>
      <c r="D47" s="29" t="s">
        <v>1917</v>
      </c>
      <c r="E47" s="8" t="s">
        <v>195</v>
      </c>
      <c r="F47" s="8" t="s">
        <v>24</v>
      </c>
      <c r="G47" s="25"/>
      <c r="H47" s="27" t="str">
        <f>HYPERLINK("https://doc.morningstar.com/Document/c809ea31af9cfc47ac42dafa2c01a50b.msdoc?clientid=fnz&amp;key=9c0e4d166b60ffd3","TMD")</f>
        <v>TMD</v>
      </c>
      <c r="I47" s="8" t="s">
        <v>25</v>
      </c>
      <c r="J47" s="8" t="s">
        <v>25</v>
      </c>
      <c r="K47" s="8" t="s">
        <v>25</v>
      </c>
      <c r="L47" s="8" t="s">
        <v>25</v>
      </c>
      <c r="M47" s="8" t="s">
        <v>26</v>
      </c>
      <c r="N47" s="8" t="s">
        <v>26</v>
      </c>
      <c r="O47" s="8" t="s">
        <v>27</v>
      </c>
      <c r="P47" s="8" t="s">
        <v>27</v>
      </c>
    </row>
    <row r="48" spans="1:16" x14ac:dyDescent="0.25">
      <c r="A48" s="8" t="s">
        <v>1874</v>
      </c>
      <c r="B48" s="8" t="s">
        <v>1952</v>
      </c>
      <c r="C48" s="8" t="s">
        <v>1953</v>
      </c>
      <c r="D48" s="29" t="s">
        <v>1877</v>
      </c>
      <c r="E48" s="8" t="s">
        <v>195</v>
      </c>
      <c r="F48" s="8" t="s">
        <v>24</v>
      </c>
      <c r="G48" s="25"/>
      <c r="H48" s="27"/>
      <c r="I48" s="8"/>
      <c r="J48" s="8"/>
      <c r="K48" s="8"/>
      <c r="L48" s="8"/>
      <c r="M48" s="8"/>
      <c r="N48" s="8"/>
      <c r="O48" s="8"/>
      <c r="P48" s="8"/>
    </row>
    <row r="49" spans="1:16" x14ac:dyDescent="0.25">
      <c r="A49" s="8" t="s">
        <v>1874</v>
      </c>
      <c r="B49" s="8" t="s">
        <v>1954</v>
      </c>
      <c r="C49" s="8" t="s">
        <v>1955</v>
      </c>
      <c r="D49" s="29" t="s">
        <v>1894</v>
      </c>
      <c r="E49" s="8" t="s">
        <v>24</v>
      </c>
      <c r="F49" s="8" t="s">
        <v>24</v>
      </c>
      <c r="G49" s="25"/>
      <c r="H49" s="27"/>
      <c r="I49" s="8"/>
      <c r="J49" s="8"/>
      <c r="K49" s="8"/>
      <c r="L49" s="8"/>
      <c r="M49" s="8"/>
      <c r="N49" s="8"/>
      <c r="O49" s="8"/>
      <c r="P49" s="8"/>
    </row>
    <row r="50" spans="1:16" x14ac:dyDescent="0.25">
      <c r="A50" s="8" t="s">
        <v>1874</v>
      </c>
      <c r="B50" s="8" t="s">
        <v>1956</v>
      </c>
      <c r="C50" s="8" t="s">
        <v>1957</v>
      </c>
      <c r="D50" s="29" t="s">
        <v>1877</v>
      </c>
      <c r="E50" s="8" t="s">
        <v>195</v>
      </c>
      <c r="F50" s="8" t="s">
        <v>24</v>
      </c>
      <c r="G50" s="25"/>
      <c r="H50" s="27"/>
      <c r="I50" s="8"/>
      <c r="J50" s="8"/>
      <c r="K50" s="8"/>
      <c r="L50" s="8"/>
      <c r="M50" s="8"/>
      <c r="N50" s="8"/>
      <c r="O50" s="8"/>
      <c r="P50" s="8"/>
    </row>
    <row r="51" spans="1:16" x14ac:dyDescent="0.25">
      <c r="A51" s="8" t="s">
        <v>1874</v>
      </c>
      <c r="B51" s="8" t="s">
        <v>1958</v>
      </c>
      <c r="C51" s="8" t="s">
        <v>1959</v>
      </c>
      <c r="D51" s="29" t="s">
        <v>1877</v>
      </c>
      <c r="E51" s="8" t="s">
        <v>195</v>
      </c>
      <c r="F51" s="8" t="s">
        <v>24</v>
      </c>
      <c r="G51" s="25"/>
      <c r="H51" s="27"/>
      <c r="I51" s="8"/>
      <c r="J51" s="8"/>
      <c r="K51" s="8"/>
      <c r="L51" s="8"/>
      <c r="M51" s="8"/>
      <c r="N51" s="8"/>
      <c r="O51" s="8"/>
      <c r="P51" s="8"/>
    </row>
    <row r="52" spans="1:16" x14ac:dyDescent="0.25">
      <c r="A52" s="8" t="s">
        <v>1874</v>
      </c>
      <c r="B52" s="8" t="s">
        <v>1960</v>
      </c>
      <c r="C52" s="8" t="s">
        <v>1961</v>
      </c>
      <c r="D52" s="29" t="s">
        <v>1877</v>
      </c>
      <c r="E52" s="8" t="s">
        <v>195</v>
      </c>
      <c r="F52" s="8" t="s">
        <v>24</v>
      </c>
      <c r="G52" s="25"/>
      <c r="H52" s="27"/>
      <c r="I52" s="8"/>
      <c r="J52" s="8"/>
      <c r="K52" s="8"/>
      <c r="L52" s="8"/>
      <c r="M52" s="8"/>
      <c r="N52" s="8"/>
      <c r="O52" s="8"/>
      <c r="P52" s="8"/>
    </row>
    <row r="53" spans="1:16" x14ac:dyDescent="0.25">
      <c r="A53" s="8" t="s">
        <v>1914</v>
      </c>
      <c r="B53" s="8" t="s">
        <v>1962</v>
      </c>
      <c r="C53" s="8" t="s">
        <v>1963</v>
      </c>
      <c r="D53" s="29" t="s">
        <v>1917</v>
      </c>
      <c r="E53" s="8" t="s">
        <v>195</v>
      </c>
      <c r="F53" s="8" t="s">
        <v>24</v>
      </c>
      <c r="G53" s="25"/>
      <c r="H53" s="27" t="str">
        <f>HYPERLINK("https://doc.morningstar.com/Document/2bb1a02ec2cfb1f1b97c022fbf7d1a1e.msdoc?clientid=fnz&amp;key=9c0e4d166b60ffd3","TMD")</f>
        <v>TMD</v>
      </c>
      <c r="I53" s="8" t="s">
        <v>25</v>
      </c>
      <c r="J53" s="8" t="s">
        <v>26</v>
      </c>
      <c r="K53" s="8" t="s">
        <v>26</v>
      </c>
      <c r="L53" s="8" t="s">
        <v>27</v>
      </c>
      <c r="M53" s="8" t="s">
        <v>26</v>
      </c>
      <c r="N53" s="8" t="s">
        <v>26</v>
      </c>
      <c r="O53" s="8" t="s">
        <v>27</v>
      </c>
      <c r="P53" s="8" t="s">
        <v>27</v>
      </c>
    </row>
    <row r="54" spans="1:16" x14ac:dyDescent="0.25">
      <c r="A54" s="8" t="s">
        <v>1874</v>
      </c>
      <c r="B54" s="8" t="s">
        <v>1964</v>
      </c>
      <c r="C54" s="8" t="s">
        <v>1965</v>
      </c>
      <c r="D54" s="29" t="s">
        <v>1877</v>
      </c>
      <c r="E54" s="8" t="s">
        <v>195</v>
      </c>
      <c r="F54" s="8" t="s">
        <v>24</v>
      </c>
      <c r="G54" s="25"/>
      <c r="H54" s="27"/>
      <c r="I54" s="8"/>
      <c r="J54" s="8"/>
      <c r="K54" s="8"/>
      <c r="L54" s="8"/>
      <c r="M54" s="8"/>
      <c r="N54" s="8"/>
      <c r="O54" s="8"/>
      <c r="P54" s="8"/>
    </row>
    <row r="55" spans="1:16" x14ac:dyDescent="0.25">
      <c r="A55" s="8" t="s">
        <v>1874</v>
      </c>
      <c r="B55" s="8" t="s">
        <v>1966</v>
      </c>
      <c r="C55" s="8" t="s">
        <v>1967</v>
      </c>
      <c r="D55" s="29" t="s">
        <v>1913</v>
      </c>
      <c r="E55" s="8" t="s">
        <v>195</v>
      </c>
      <c r="F55" s="8" t="s">
        <v>24</v>
      </c>
      <c r="G55" s="25"/>
      <c r="H55" s="27"/>
      <c r="I55" s="8"/>
      <c r="J55" s="8"/>
      <c r="K55" s="8"/>
      <c r="L55" s="8"/>
      <c r="M55" s="8"/>
      <c r="N55" s="8"/>
      <c r="O55" s="8"/>
      <c r="P55" s="8"/>
    </row>
    <row r="56" spans="1:16" x14ac:dyDescent="0.25">
      <c r="A56" s="8" t="s">
        <v>1874</v>
      </c>
      <c r="B56" s="8" t="s">
        <v>1968</v>
      </c>
      <c r="C56" s="8" t="s">
        <v>1969</v>
      </c>
      <c r="D56" s="29" t="s">
        <v>1877</v>
      </c>
      <c r="E56" s="8" t="s">
        <v>24</v>
      </c>
      <c r="F56" s="8" t="s">
        <v>24</v>
      </c>
      <c r="G56" s="25"/>
      <c r="H56" s="27"/>
      <c r="I56" s="8"/>
      <c r="J56" s="8"/>
      <c r="K56" s="8"/>
      <c r="L56" s="8"/>
      <c r="M56" s="8"/>
      <c r="N56" s="8"/>
      <c r="O56" s="8"/>
      <c r="P56" s="8"/>
    </row>
    <row r="57" spans="1:16" x14ac:dyDescent="0.25">
      <c r="A57" s="8" t="s">
        <v>1914</v>
      </c>
      <c r="B57" s="8" t="s">
        <v>1970</v>
      </c>
      <c r="C57" s="8" t="s">
        <v>1971</v>
      </c>
      <c r="D57" s="29" t="s">
        <v>1917</v>
      </c>
      <c r="E57" s="8" t="s">
        <v>195</v>
      </c>
      <c r="F57" s="8" t="s">
        <v>24</v>
      </c>
      <c r="G57" s="25"/>
      <c r="H57" s="27" t="str">
        <f>HYPERLINK("https://doc.morningstar.com/Document/87ac57965d2940d6710ed33bda533fcf.msdoc?clientid=fnz&amp;key=9c0e4d166b60ffd3","TMD")</f>
        <v>TMD</v>
      </c>
      <c r="I57" s="8" t="s">
        <v>25</v>
      </c>
      <c r="J57" s="8" t="s">
        <v>25</v>
      </c>
      <c r="K57" s="8" t="s">
        <v>25</v>
      </c>
      <c r="L57" s="8" t="s">
        <v>25</v>
      </c>
      <c r="M57" s="8" t="s">
        <v>26</v>
      </c>
      <c r="N57" s="8" t="s">
        <v>26</v>
      </c>
      <c r="O57" s="8" t="s">
        <v>27</v>
      </c>
      <c r="P57" s="8" t="s">
        <v>27</v>
      </c>
    </row>
    <row r="58" spans="1:16" x14ac:dyDescent="0.25">
      <c r="A58" s="8" t="s">
        <v>1874</v>
      </c>
      <c r="B58" s="8" t="s">
        <v>1972</v>
      </c>
      <c r="C58" s="8" t="s">
        <v>1973</v>
      </c>
      <c r="D58" s="29" t="s">
        <v>1877</v>
      </c>
      <c r="E58" s="8" t="s">
        <v>24</v>
      </c>
      <c r="F58" s="8" t="s">
        <v>24</v>
      </c>
      <c r="G58" s="25"/>
      <c r="H58" s="27"/>
      <c r="I58" s="8"/>
      <c r="J58" s="8"/>
      <c r="K58" s="8"/>
      <c r="L58" s="8"/>
      <c r="M58" s="8"/>
      <c r="N58" s="8"/>
      <c r="O58" s="8"/>
      <c r="P58" s="8"/>
    </row>
    <row r="59" spans="1:16" x14ac:dyDescent="0.25">
      <c r="A59" s="8" t="s">
        <v>1874</v>
      </c>
      <c r="B59" s="8" t="s">
        <v>1974</v>
      </c>
      <c r="C59" s="8" t="s">
        <v>1975</v>
      </c>
      <c r="D59" s="29" t="s">
        <v>1877</v>
      </c>
      <c r="E59" s="8" t="s">
        <v>195</v>
      </c>
      <c r="F59" s="8" t="s">
        <v>24</v>
      </c>
      <c r="G59" s="25"/>
      <c r="H59" s="27"/>
      <c r="I59" s="8"/>
      <c r="J59" s="8"/>
      <c r="K59" s="8"/>
      <c r="L59" s="8"/>
      <c r="M59" s="8"/>
      <c r="N59" s="8"/>
      <c r="O59" s="8"/>
      <c r="P59" s="8"/>
    </row>
    <row r="60" spans="1:16" x14ac:dyDescent="0.25">
      <c r="A60" s="8" t="s">
        <v>1874</v>
      </c>
      <c r="B60" s="8" t="s">
        <v>1976</v>
      </c>
      <c r="C60" s="8" t="s">
        <v>1977</v>
      </c>
      <c r="D60" s="29" t="s">
        <v>1877</v>
      </c>
      <c r="E60" s="8" t="s">
        <v>195</v>
      </c>
      <c r="F60" s="8" t="s">
        <v>24</v>
      </c>
      <c r="G60" s="25"/>
      <c r="H60" s="27"/>
      <c r="I60" s="8"/>
      <c r="J60" s="8"/>
      <c r="K60" s="8"/>
      <c r="L60" s="8"/>
      <c r="M60" s="8"/>
      <c r="N60" s="8"/>
      <c r="O60" s="8"/>
      <c r="P60" s="8"/>
    </row>
    <row r="61" spans="1:16" x14ac:dyDescent="0.25">
      <c r="A61" s="8" t="s">
        <v>1874</v>
      </c>
      <c r="B61" s="8" t="s">
        <v>1978</v>
      </c>
      <c r="C61" s="8" t="s">
        <v>1979</v>
      </c>
      <c r="D61" s="29" t="s">
        <v>1877</v>
      </c>
      <c r="E61" s="8" t="s">
        <v>195</v>
      </c>
      <c r="F61" s="8" t="s">
        <v>24</v>
      </c>
      <c r="G61" s="25"/>
      <c r="H61" s="27"/>
      <c r="I61" s="8"/>
      <c r="J61" s="8"/>
      <c r="K61" s="8"/>
      <c r="L61" s="8"/>
      <c r="M61" s="8"/>
      <c r="N61" s="8"/>
      <c r="O61" s="8"/>
      <c r="P61" s="8"/>
    </row>
    <row r="62" spans="1:16" x14ac:dyDescent="0.25">
      <c r="A62" s="8" t="s">
        <v>1874</v>
      </c>
      <c r="B62" s="8" t="s">
        <v>1980</v>
      </c>
      <c r="C62" s="8" t="s">
        <v>1981</v>
      </c>
      <c r="D62" s="29" t="s">
        <v>1877</v>
      </c>
      <c r="E62" s="8" t="s">
        <v>195</v>
      </c>
      <c r="F62" s="8" t="s">
        <v>24</v>
      </c>
      <c r="G62" s="25">
        <v>30</v>
      </c>
      <c r="H62" s="27"/>
      <c r="I62" s="8"/>
      <c r="J62" s="8"/>
      <c r="K62" s="8"/>
      <c r="L62" s="8"/>
      <c r="M62" s="8"/>
      <c r="N62" s="8"/>
      <c r="O62" s="8"/>
      <c r="P62" s="8"/>
    </row>
    <row r="63" spans="1:16" x14ac:dyDescent="0.25">
      <c r="A63" s="8" t="s">
        <v>1874</v>
      </c>
      <c r="B63" s="8" t="s">
        <v>1982</v>
      </c>
      <c r="C63" s="8" t="s">
        <v>1983</v>
      </c>
      <c r="D63" s="29" t="s">
        <v>1894</v>
      </c>
      <c r="E63" s="8" t="s">
        <v>24</v>
      </c>
      <c r="F63" s="8" t="s">
        <v>24</v>
      </c>
      <c r="G63" s="25"/>
      <c r="H63" s="27"/>
      <c r="I63" s="8"/>
      <c r="J63" s="8"/>
      <c r="K63" s="8"/>
      <c r="L63" s="8"/>
      <c r="M63" s="8"/>
      <c r="N63" s="8"/>
      <c r="O63" s="8"/>
      <c r="P63" s="8"/>
    </row>
    <row r="64" spans="1:16" x14ac:dyDescent="0.25">
      <c r="A64" s="8" t="s">
        <v>1874</v>
      </c>
      <c r="B64" s="8" t="s">
        <v>1984</v>
      </c>
      <c r="C64" s="8" t="s">
        <v>1985</v>
      </c>
      <c r="D64" s="29" t="s">
        <v>1877</v>
      </c>
      <c r="E64" s="8" t="s">
        <v>195</v>
      </c>
      <c r="F64" s="8" t="s">
        <v>24</v>
      </c>
      <c r="G64" s="25"/>
      <c r="H64" s="27"/>
      <c r="I64" s="8"/>
      <c r="J64" s="8"/>
      <c r="K64" s="8"/>
      <c r="L64" s="8"/>
      <c r="M64" s="8"/>
      <c r="N64" s="8"/>
      <c r="O64" s="8"/>
      <c r="P64" s="8"/>
    </row>
    <row r="65" spans="1:16" x14ac:dyDescent="0.25">
      <c r="A65" s="8" t="s">
        <v>1874</v>
      </c>
      <c r="B65" s="8" t="s">
        <v>1986</v>
      </c>
      <c r="C65" s="8" t="s">
        <v>1987</v>
      </c>
      <c r="D65" s="29" t="s">
        <v>1877</v>
      </c>
      <c r="E65" s="8" t="s">
        <v>24</v>
      </c>
      <c r="F65" s="8" t="s">
        <v>24</v>
      </c>
      <c r="G65" s="25"/>
      <c r="H65" s="27"/>
      <c r="I65" s="8"/>
      <c r="J65" s="8"/>
      <c r="K65" s="8"/>
      <c r="L65" s="8"/>
      <c r="M65" s="8"/>
      <c r="N65" s="8"/>
      <c r="O65" s="8"/>
      <c r="P65" s="8"/>
    </row>
    <row r="66" spans="1:16" x14ac:dyDescent="0.25">
      <c r="A66" s="8" t="s">
        <v>1988</v>
      </c>
      <c r="B66" s="8" t="s">
        <v>1989</v>
      </c>
      <c r="C66" s="8" t="s">
        <v>1990</v>
      </c>
      <c r="D66" s="29" t="s">
        <v>1991</v>
      </c>
      <c r="E66" s="8" t="s">
        <v>24</v>
      </c>
      <c r="F66" s="8" t="s">
        <v>24</v>
      </c>
      <c r="G66" s="25">
        <v>20</v>
      </c>
      <c r="H66" s="27"/>
      <c r="I66" s="8"/>
      <c r="J66" s="8"/>
      <c r="K66" s="8"/>
      <c r="L66" s="8"/>
      <c r="M66" s="8"/>
      <c r="N66" s="8"/>
      <c r="O66" s="8"/>
      <c r="P66" s="8"/>
    </row>
    <row r="67" spans="1:16" x14ac:dyDescent="0.25">
      <c r="A67" s="8" t="s">
        <v>1874</v>
      </c>
      <c r="B67" s="8" t="s">
        <v>1992</v>
      </c>
      <c r="C67" s="8" t="s">
        <v>1993</v>
      </c>
      <c r="D67" s="29" t="s">
        <v>1877</v>
      </c>
      <c r="E67" s="8" t="s">
        <v>24</v>
      </c>
      <c r="F67" s="8" t="s">
        <v>24</v>
      </c>
      <c r="G67" s="25"/>
      <c r="H67" s="27"/>
      <c r="I67" s="8"/>
      <c r="J67" s="8"/>
      <c r="K67" s="8"/>
      <c r="L67" s="8"/>
      <c r="M67" s="8"/>
      <c r="N67" s="8"/>
      <c r="O67" s="8"/>
      <c r="P67" s="8"/>
    </row>
    <row r="68" spans="1:16" x14ac:dyDescent="0.25">
      <c r="A68" s="8" t="s">
        <v>1874</v>
      </c>
      <c r="B68" s="8" t="s">
        <v>1994</v>
      </c>
      <c r="C68" s="8" t="s">
        <v>1995</v>
      </c>
      <c r="D68" s="29" t="s">
        <v>1877</v>
      </c>
      <c r="E68" s="8" t="s">
        <v>24</v>
      </c>
      <c r="F68" s="8" t="s">
        <v>24</v>
      </c>
      <c r="G68" s="25"/>
      <c r="H68" s="27"/>
      <c r="I68" s="8"/>
      <c r="J68" s="8"/>
      <c r="K68" s="8"/>
      <c r="L68" s="8"/>
      <c r="M68" s="8"/>
      <c r="N68" s="8"/>
      <c r="O68" s="8"/>
      <c r="P68" s="8"/>
    </row>
    <row r="69" spans="1:16" x14ac:dyDescent="0.25">
      <c r="A69" s="8" t="s">
        <v>1874</v>
      </c>
      <c r="B69" s="8" t="s">
        <v>1996</v>
      </c>
      <c r="C69" s="8" t="s">
        <v>1997</v>
      </c>
      <c r="D69" s="29" t="s">
        <v>1877</v>
      </c>
      <c r="E69" s="8" t="s">
        <v>24</v>
      </c>
      <c r="F69" s="8" t="s">
        <v>24</v>
      </c>
      <c r="G69" s="25"/>
      <c r="H69" s="27"/>
      <c r="I69" s="8"/>
      <c r="J69" s="8"/>
      <c r="K69" s="8"/>
      <c r="L69" s="8"/>
      <c r="M69" s="8"/>
      <c r="N69" s="8"/>
      <c r="O69" s="8"/>
      <c r="P69" s="8"/>
    </row>
    <row r="70" spans="1:16" x14ac:dyDescent="0.25">
      <c r="A70" s="8" t="s">
        <v>1874</v>
      </c>
      <c r="B70" s="8" t="s">
        <v>1998</v>
      </c>
      <c r="C70" s="8" t="s">
        <v>1999</v>
      </c>
      <c r="D70" s="29" t="s">
        <v>1877</v>
      </c>
      <c r="E70" s="8" t="s">
        <v>195</v>
      </c>
      <c r="F70" s="8" t="s">
        <v>24</v>
      </c>
      <c r="G70" s="25"/>
      <c r="H70" s="27"/>
      <c r="I70" s="8"/>
      <c r="J70" s="8"/>
      <c r="K70" s="8"/>
      <c r="L70" s="8"/>
      <c r="M70" s="8"/>
      <c r="N70" s="8"/>
      <c r="O70" s="8"/>
      <c r="P70" s="8"/>
    </row>
    <row r="71" spans="1:16" x14ac:dyDescent="0.25">
      <c r="A71" s="8" t="s">
        <v>1874</v>
      </c>
      <c r="B71" s="8" t="s">
        <v>2000</v>
      </c>
      <c r="C71" s="8" t="s">
        <v>2001</v>
      </c>
      <c r="D71" s="29" t="s">
        <v>1877</v>
      </c>
      <c r="E71" s="8" t="s">
        <v>195</v>
      </c>
      <c r="F71" s="8" t="s">
        <v>24</v>
      </c>
      <c r="G71" s="25"/>
      <c r="H71" s="27"/>
      <c r="I71" s="8"/>
      <c r="J71" s="8"/>
      <c r="K71" s="8"/>
      <c r="L71" s="8"/>
      <c r="M71" s="8"/>
      <c r="N71" s="8"/>
      <c r="O71" s="8"/>
      <c r="P71" s="8"/>
    </row>
    <row r="72" spans="1:16" x14ac:dyDescent="0.25">
      <c r="A72" s="8" t="s">
        <v>1874</v>
      </c>
      <c r="B72" s="8" t="s">
        <v>2002</v>
      </c>
      <c r="C72" s="8" t="s">
        <v>2003</v>
      </c>
      <c r="D72" s="29" t="s">
        <v>1877</v>
      </c>
      <c r="E72" s="8" t="s">
        <v>195</v>
      </c>
      <c r="F72" s="8" t="s">
        <v>24</v>
      </c>
      <c r="G72" s="25"/>
      <c r="H72" s="27"/>
      <c r="I72" s="8"/>
      <c r="J72" s="8"/>
      <c r="K72" s="8"/>
      <c r="L72" s="8"/>
      <c r="M72" s="8"/>
      <c r="N72" s="8"/>
      <c r="O72" s="8"/>
      <c r="P72" s="8"/>
    </row>
    <row r="73" spans="1:16" x14ac:dyDescent="0.25">
      <c r="A73" s="8" t="s">
        <v>1874</v>
      </c>
      <c r="B73" s="8" t="s">
        <v>2004</v>
      </c>
      <c r="C73" s="8" t="s">
        <v>2005</v>
      </c>
      <c r="D73" s="29" t="s">
        <v>1877</v>
      </c>
      <c r="E73" s="8" t="s">
        <v>24</v>
      </c>
      <c r="F73" s="8" t="s">
        <v>24</v>
      </c>
      <c r="G73" s="25"/>
      <c r="H73" s="27"/>
      <c r="I73" s="8"/>
      <c r="J73" s="8"/>
      <c r="K73" s="8"/>
      <c r="L73" s="8"/>
      <c r="M73" s="8"/>
      <c r="N73" s="8"/>
      <c r="O73" s="8"/>
      <c r="P73" s="8"/>
    </row>
    <row r="74" spans="1:16" x14ac:dyDescent="0.25">
      <c r="A74" s="8" t="s">
        <v>1874</v>
      </c>
      <c r="B74" s="8" t="s">
        <v>2006</v>
      </c>
      <c r="C74" s="8" t="s">
        <v>2007</v>
      </c>
      <c r="D74" s="29" t="s">
        <v>1877</v>
      </c>
      <c r="E74" s="8" t="s">
        <v>195</v>
      </c>
      <c r="F74" s="8" t="s">
        <v>24</v>
      </c>
      <c r="G74" s="25"/>
      <c r="H74" s="27"/>
      <c r="I74" s="8"/>
      <c r="J74" s="8"/>
      <c r="K74" s="8"/>
      <c r="L74" s="8"/>
      <c r="M74" s="8"/>
      <c r="N74" s="8"/>
      <c r="O74" s="8"/>
      <c r="P74" s="8"/>
    </row>
    <row r="75" spans="1:16" x14ac:dyDescent="0.25">
      <c r="A75" s="8" t="s">
        <v>1874</v>
      </c>
      <c r="B75" s="8" t="s">
        <v>2008</v>
      </c>
      <c r="C75" s="8" t="s">
        <v>2009</v>
      </c>
      <c r="D75" s="29" t="s">
        <v>1894</v>
      </c>
      <c r="E75" s="8" t="s">
        <v>195</v>
      </c>
      <c r="F75" s="8" t="s">
        <v>24</v>
      </c>
      <c r="G75" s="25"/>
      <c r="H75" s="27"/>
      <c r="I75" s="8"/>
      <c r="J75" s="8"/>
      <c r="K75" s="8"/>
      <c r="L75" s="8"/>
      <c r="M75" s="8"/>
      <c r="N75" s="8"/>
      <c r="O75" s="8"/>
      <c r="P75" s="8"/>
    </row>
    <row r="76" spans="1:16" x14ac:dyDescent="0.25">
      <c r="A76" s="8" t="s">
        <v>1874</v>
      </c>
      <c r="B76" s="8" t="s">
        <v>2010</v>
      </c>
      <c r="C76" s="8" t="s">
        <v>2011</v>
      </c>
      <c r="D76" s="29" t="s">
        <v>1877</v>
      </c>
      <c r="E76" s="8" t="s">
        <v>195</v>
      </c>
      <c r="F76" s="8" t="s">
        <v>24</v>
      </c>
      <c r="G76" s="25"/>
      <c r="H76" s="27"/>
      <c r="I76" s="8"/>
      <c r="J76" s="8"/>
      <c r="K76" s="8"/>
      <c r="L76" s="8"/>
      <c r="M76" s="8"/>
      <c r="N76" s="8"/>
      <c r="O76" s="8"/>
      <c r="P76" s="8"/>
    </row>
    <row r="77" spans="1:16" x14ac:dyDescent="0.25">
      <c r="A77" s="8" t="s">
        <v>1914</v>
      </c>
      <c r="B77" s="8" t="s">
        <v>2012</v>
      </c>
      <c r="C77" s="8" t="s">
        <v>2013</v>
      </c>
      <c r="D77" s="29" t="s">
        <v>1917</v>
      </c>
      <c r="E77" s="8" t="s">
        <v>24</v>
      </c>
      <c r="F77" s="8" t="s">
        <v>24</v>
      </c>
      <c r="G77" s="25">
        <v>100</v>
      </c>
      <c r="H77" s="27" t="str">
        <f>HYPERLINK("https://doc.morningstar.com/Document/36839ddf43d6c0f820f59a18f5c1b122.msdoc?clientid=fnz&amp;key=9c0e4d166b60ffd3","TMD")</f>
        <v>TMD</v>
      </c>
      <c r="I77" s="8" t="s">
        <v>25</v>
      </c>
      <c r="J77" s="8" t="s">
        <v>25</v>
      </c>
      <c r="K77" s="8" t="s">
        <v>25</v>
      </c>
      <c r="L77" s="8" t="s">
        <v>25</v>
      </c>
      <c r="M77" s="8" t="s">
        <v>26</v>
      </c>
      <c r="N77" s="8" t="s">
        <v>26</v>
      </c>
      <c r="O77" s="8" t="s">
        <v>27</v>
      </c>
      <c r="P77" s="8" t="s">
        <v>27</v>
      </c>
    </row>
    <row r="78" spans="1:16" x14ac:dyDescent="0.25">
      <c r="A78" s="8" t="s">
        <v>1988</v>
      </c>
      <c r="B78" s="8" t="s">
        <v>2014</v>
      </c>
      <c r="C78" s="8" t="s">
        <v>2015</v>
      </c>
      <c r="D78" s="29" t="s">
        <v>1991</v>
      </c>
      <c r="E78" s="8" t="s">
        <v>24</v>
      </c>
      <c r="F78" s="8" t="s">
        <v>24</v>
      </c>
      <c r="G78" s="25"/>
      <c r="H78" s="27"/>
      <c r="I78" s="8"/>
      <c r="J78" s="8"/>
      <c r="K78" s="8"/>
      <c r="L78" s="8"/>
      <c r="M78" s="8"/>
      <c r="N78" s="8"/>
      <c r="O78" s="8"/>
      <c r="P78" s="8"/>
    </row>
    <row r="79" spans="1:16" x14ac:dyDescent="0.25">
      <c r="A79" s="8" t="s">
        <v>1988</v>
      </c>
      <c r="B79" s="8" t="s">
        <v>2016</v>
      </c>
      <c r="C79" s="8" t="s">
        <v>2017</v>
      </c>
      <c r="D79" s="29" t="s">
        <v>1991</v>
      </c>
      <c r="E79" s="8" t="s">
        <v>24</v>
      </c>
      <c r="F79" s="8" t="s">
        <v>24</v>
      </c>
      <c r="G79" s="25"/>
      <c r="H79" s="27"/>
      <c r="I79" s="8"/>
      <c r="J79" s="8"/>
      <c r="K79" s="8"/>
      <c r="L79" s="8"/>
      <c r="M79" s="8"/>
      <c r="N79" s="8"/>
      <c r="O79" s="8"/>
      <c r="P79" s="8"/>
    </row>
    <row r="80" spans="1:16" x14ac:dyDescent="0.25">
      <c r="A80" s="8" t="s">
        <v>1988</v>
      </c>
      <c r="B80" s="8" t="s">
        <v>2018</v>
      </c>
      <c r="C80" s="8" t="s">
        <v>2019</v>
      </c>
      <c r="D80" s="29" t="s">
        <v>1991</v>
      </c>
      <c r="E80" s="8" t="s">
        <v>24</v>
      </c>
      <c r="F80" s="8" t="s">
        <v>24</v>
      </c>
      <c r="G80" s="25"/>
      <c r="H80" s="27"/>
      <c r="I80" s="8"/>
      <c r="J80" s="8"/>
      <c r="K80" s="8"/>
      <c r="L80" s="8"/>
      <c r="M80" s="8"/>
      <c r="N80" s="8"/>
      <c r="O80" s="8"/>
      <c r="P80" s="8"/>
    </row>
    <row r="81" spans="1:16" x14ac:dyDescent="0.25">
      <c r="A81" s="8" t="s">
        <v>1988</v>
      </c>
      <c r="B81" s="8" t="s">
        <v>2020</v>
      </c>
      <c r="C81" s="8" t="s">
        <v>2021</v>
      </c>
      <c r="D81" s="29" t="s">
        <v>1991</v>
      </c>
      <c r="E81" s="8" t="s">
        <v>24</v>
      </c>
      <c r="F81" s="8" t="s">
        <v>24</v>
      </c>
      <c r="G81" s="25"/>
      <c r="H81" s="27"/>
      <c r="I81" s="8"/>
      <c r="J81" s="8"/>
      <c r="K81" s="8"/>
      <c r="L81" s="8"/>
      <c r="M81" s="8"/>
      <c r="N81" s="8"/>
      <c r="O81" s="8"/>
      <c r="P81" s="8"/>
    </row>
    <row r="82" spans="1:16" x14ac:dyDescent="0.25">
      <c r="A82" s="8" t="s">
        <v>1874</v>
      </c>
      <c r="B82" s="8" t="s">
        <v>2022</v>
      </c>
      <c r="C82" s="8" t="s">
        <v>2023</v>
      </c>
      <c r="D82" s="29" t="s">
        <v>1877</v>
      </c>
      <c r="E82" s="8" t="s">
        <v>24</v>
      </c>
      <c r="F82" s="8" t="s">
        <v>24</v>
      </c>
      <c r="G82" s="25"/>
      <c r="H82" s="27"/>
      <c r="I82" s="8"/>
      <c r="J82" s="8"/>
      <c r="K82" s="8"/>
      <c r="L82" s="8"/>
      <c r="M82" s="8"/>
      <c r="N82" s="8"/>
      <c r="O82" s="8"/>
      <c r="P82" s="8"/>
    </row>
    <row r="83" spans="1:16" x14ac:dyDescent="0.25">
      <c r="A83" s="8" t="s">
        <v>1914</v>
      </c>
      <c r="B83" s="8" t="s">
        <v>2024</v>
      </c>
      <c r="C83" s="8" t="s">
        <v>2025</v>
      </c>
      <c r="D83" s="29" t="s">
        <v>1917</v>
      </c>
      <c r="E83" s="8" t="s">
        <v>24</v>
      </c>
      <c r="F83" s="8" t="s">
        <v>24</v>
      </c>
      <c r="G83" s="25"/>
      <c r="H83" s="27" t="str">
        <f>HYPERLINK("https://doc.morningstar.com/Document/0a72bcd37281ae0ae23193ebeaefd50a.msdoc?clientid=fnz&amp;key=9c0e4d166b60ffd3","TMD")</f>
        <v>TMD</v>
      </c>
      <c r="I83" s="8" t="s">
        <v>25</v>
      </c>
      <c r="J83" s="8" t="s">
        <v>25</v>
      </c>
      <c r="K83" s="8" t="s">
        <v>25</v>
      </c>
      <c r="L83" s="8" t="s">
        <v>25</v>
      </c>
      <c r="M83" s="8" t="s">
        <v>26</v>
      </c>
      <c r="N83" s="8" t="s">
        <v>26</v>
      </c>
      <c r="O83" s="8" t="s">
        <v>27</v>
      </c>
      <c r="P83" s="8" t="s">
        <v>27</v>
      </c>
    </row>
    <row r="84" spans="1:16" x14ac:dyDescent="0.25">
      <c r="A84" s="8" t="s">
        <v>1914</v>
      </c>
      <c r="B84" s="8" t="s">
        <v>2026</v>
      </c>
      <c r="C84" s="8" t="s">
        <v>2027</v>
      </c>
      <c r="D84" s="29" t="s">
        <v>1917</v>
      </c>
      <c r="E84" s="8" t="s">
        <v>24</v>
      </c>
      <c r="F84" s="8" t="s">
        <v>24</v>
      </c>
      <c r="G84" s="25"/>
      <c r="H84" s="27" t="str">
        <f>HYPERLINK("https://doc.morningstar.com/Document/735ad5f3566716b6d2634aeaf30dfaef.msdoc?clientid=fnz&amp;key=9c0e4d166b60ffd3","TMD")</f>
        <v>TMD</v>
      </c>
      <c r="I84" s="8" t="s">
        <v>25</v>
      </c>
      <c r="J84" s="8" t="s">
        <v>25</v>
      </c>
      <c r="K84" s="8" t="s">
        <v>25</v>
      </c>
      <c r="L84" s="8" t="s">
        <v>25</v>
      </c>
      <c r="M84" s="8" t="s">
        <v>26</v>
      </c>
      <c r="N84" s="8" t="s">
        <v>26</v>
      </c>
      <c r="O84" s="8" t="s">
        <v>27</v>
      </c>
      <c r="P84" s="8" t="s">
        <v>27</v>
      </c>
    </row>
    <row r="85" spans="1:16" x14ac:dyDescent="0.25">
      <c r="A85" s="8" t="s">
        <v>1874</v>
      </c>
      <c r="B85" s="8" t="s">
        <v>2028</v>
      </c>
      <c r="C85" s="8" t="s">
        <v>2029</v>
      </c>
      <c r="D85" s="29" t="s">
        <v>2030</v>
      </c>
      <c r="E85" s="8" t="s">
        <v>24</v>
      </c>
      <c r="F85" s="8" t="s">
        <v>24</v>
      </c>
      <c r="G85" s="25"/>
      <c r="H85" s="27"/>
      <c r="I85" s="8"/>
      <c r="J85" s="8"/>
      <c r="K85" s="8"/>
      <c r="L85" s="8"/>
      <c r="M85" s="8"/>
      <c r="N85" s="8"/>
      <c r="O85" s="8"/>
      <c r="P85" s="8"/>
    </row>
    <row r="86" spans="1:16" x14ac:dyDescent="0.25">
      <c r="A86" s="8" t="s">
        <v>1874</v>
      </c>
      <c r="B86" s="8" t="s">
        <v>2031</v>
      </c>
      <c r="C86" s="8" t="s">
        <v>2032</v>
      </c>
      <c r="D86" s="29" t="s">
        <v>1913</v>
      </c>
      <c r="E86" s="8" t="s">
        <v>195</v>
      </c>
      <c r="F86" s="8" t="s">
        <v>24</v>
      </c>
      <c r="G86" s="25"/>
      <c r="H86" s="27"/>
      <c r="I86" s="8"/>
      <c r="J86" s="8"/>
      <c r="K86" s="8"/>
      <c r="L86" s="8"/>
      <c r="M86" s="8"/>
      <c r="N86" s="8"/>
      <c r="O86" s="8"/>
      <c r="P86" s="8"/>
    </row>
    <row r="87" spans="1:16" x14ac:dyDescent="0.25">
      <c r="A87" s="8" t="s">
        <v>1914</v>
      </c>
      <c r="B87" s="8" t="s">
        <v>2033</v>
      </c>
      <c r="C87" s="8" t="s">
        <v>2034</v>
      </c>
      <c r="D87" s="29" t="s">
        <v>1917</v>
      </c>
      <c r="E87" s="8" t="s">
        <v>195</v>
      </c>
      <c r="F87" s="8" t="s">
        <v>24</v>
      </c>
      <c r="G87" s="25"/>
      <c r="H87" s="27" t="str">
        <f>HYPERLINK("https://doc.morningstar.com/Document/6f91207ffed36736b9b215eefe5e4261.msdoc?clientid=fnz&amp;key=9c0e4d166b60ffd3","TMD")</f>
        <v>TMD</v>
      </c>
      <c r="I87" s="8" t="s">
        <v>25</v>
      </c>
      <c r="J87" s="8" t="s">
        <v>25</v>
      </c>
      <c r="K87" s="8" t="s">
        <v>25</v>
      </c>
      <c r="L87" s="8" t="s">
        <v>25</v>
      </c>
      <c r="M87" s="8" t="s">
        <v>26</v>
      </c>
      <c r="N87" s="8" t="s">
        <v>26</v>
      </c>
      <c r="O87" s="8" t="s">
        <v>27</v>
      </c>
      <c r="P87" s="8" t="s">
        <v>27</v>
      </c>
    </row>
    <row r="88" spans="1:16" x14ac:dyDescent="0.25">
      <c r="A88" s="8" t="s">
        <v>1874</v>
      </c>
      <c r="B88" s="8" t="s">
        <v>2035</v>
      </c>
      <c r="C88" s="8" t="s">
        <v>2036</v>
      </c>
      <c r="D88" s="29" t="s">
        <v>1877</v>
      </c>
      <c r="E88" s="8" t="s">
        <v>195</v>
      </c>
      <c r="F88" s="8" t="s">
        <v>24</v>
      </c>
      <c r="G88" s="25"/>
      <c r="H88" s="27"/>
      <c r="I88" s="8"/>
      <c r="J88" s="8"/>
      <c r="K88" s="8"/>
      <c r="L88" s="8"/>
      <c r="M88" s="8"/>
      <c r="N88" s="8"/>
      <c r="O88" s="8"/>
      <c r="P88" s="8"/>
    </row>
    <row r="89" spans="1:16" x14ac:dyDescent="0.25">
      <c r="A89" s="8" t="s">
        <v>1874</v>
      </c>
      <c r="B89" s="8" t="s">
        <v>2037</v>
      </c>
      <c r="C89" s="8" t="s">
        <v>2038</v>
      </c>
      <c r="D89" s="29" t="s">
        <v>1877</v>
      </c>
      <c r="E89" s="8" t="s">
        <v>195</v>
      </c>
      <c r="F89" s="8" t="s">
        <v>24</v>
      </c>
      <c r="G89" s="25"/>
      <c r="H89" s="27"/>
      <c r="I89" s="8"/>
      <c r="J89" s="8"/>
      <c r="K89" s="8"/>
      <c r="L89" s="8"/>
      <c r="M89" s="8"/>
      <c r="N89" s="8"/>
      <c r="O89" s="8"/>
      <c r="P89" s="8"/>
    </row>
    <row r="90" spans="1:16" x14ac:dyDescent="0.25">
      <c r="A90" s="8" t="s">
        <v>1874</v>
      </c>
      <c r="B90" s="8" t="s">
        <v>2039</v>
      </c>
      <c r="C90" s="8" t="s">
        <v>2040</v>
      </c>
      <c r="D90" s="29" t="s">
        <v>1877</v>
      </c>
      <c r="E90" s="8" t="s">
        <v>24</v>
      </c>
      <c r="F90" s="8" t="s">
        <v>24</v>
      </c>
      <c r="G90" s="25"/>
      <c r="H90" s="27"/>
      <c r="I90" s="8"/>
      <c r="J90" s="8"/>
      <c r="K90" s="8"/>
      <c r="L90" s="8"/>
      <c r="M90" s="8"/>
      <c r="N90" s="8"/>
      <c r="O90" s="8"/>
      <c r="P90" s="8"/>
    </row>
    <row r="91" spans="1:16" x14ac:dyDescent="0.25">
      <c r="A91" s="8" t="s">
        <v>1874</v>
      </c>
      <c r="B91" s="8" t="s">
        <v>2041</v>
      </c>
      <c r="C91" s="8" t="s">
        <v>2042</v>
      </c>
      <c r="D91" s="29" t="s">
        <v>1877</v>
      </c>
      <c r="E91" s="8" t="s">
        <v>195</v>
      </c>
      <c r="F91" s="8" t="s">
        <v>24</v>
      </c>
      <c r="G91" s="25"/>
      <c r="H91" s="27"/>
      <c r="I91" s="8"/>
      <c r="J91" s="8"/>
      <c r="K91" s="8"/>
      <c r="L91" s="8"/>
      <c r="M91" s="8"/>
      <c r="N91" s="8"/>
      <c r="O91" s="8"/>
      <c r="P91" s="8"/>
    </row>
    <row r="92" spans="1:16" x14ac:dyDescent="0.25">
      <c r="A92" s="8" t="s">
        <v>1874</v>
      </c>
      <c r="B92" s="8" t="s">
        <v>2043</v>
      </c>
      <c r="C92" s="8" t="s">
        <v>2044</v>
      </c>
      <c r="D92" s="29" t="s">
        <v>1877</v>
      </c>
      <c r="E92" s="8" t="s">
        <v>195</v>
      </c>
      <c r="F92" s="8" t="s">
        <v>24</v>
      </c>
      <c r="G92" s="25"/>
      <c r="H92" s="27"/>
      <c r="I92" s="8"/>
      <c r="J92" s="8"/>
      <c r="K92" s="8"/>
      <c r="L92" s="8"/>
      <c r="M92" s="8"/>
      <c r="N92" s="8"/>
      <c r="O92" s="8"/>
      <c r="P92" s="8"/>
    </row>
    <row r="93" spans="1:16" ht="15" customHeight="1" x14ac:dyDescent="0.25">
      <c r="A93" s="8" t="s">
        <v>1878</v>
      </c>
      <c r="B93" s="8" t="s">
        <v>2045</v>
      </c>
      <c r="C93" s="8" t="s">
        <v>2046</v>
      </c>
      <c r="D93" s="29" t="s">
        <v>1881</v>
      </c>
      <c r="E93" s="8" t="s">
        <v>24</v>
      </c>
      <c r="F93" s="8" t="s">
        <v>24</v>
      </c>
      <c r="G93" s="25"/>
      <c r="H93" s="27"/>
      <c r="I93" s="8"/>
      <c r="J93" s="8"/>
      <c r="K93" s="8"/>
      <c r="L93" s="8"/>
      <c r="M93" s="8"/>
      <c r="N93" s="8"/>
      <c r="O93" s="8"/>
      <c r="P93" s="8"/>
    </row>
    <row r="94" spans="1:16" x14ac:dyDescent="0.25">
      <c r="A94" s="8" t="s">
        <v>1874</v>
      </c>
      <c r="B94" s="8" t="s">
        <v>2047</v>
      </c>
      <c r="C94" s="8" t="s">
        <v>2048</v>
      </c>
      <c r="D94" s="29" t="s">
        <v>1877</v>
      </c>
      <c r="E94" s="8" t="s">
        <v>195</v>
      </c>
      <c r="F94" s="8" t="s">
        <v>24</v>
      </c>
      <c r="G94" s="25"/>
      <c r="H94" s="27"/>
      <c r="I94" s="8"/>
      <c r="J94" s="8"/>
      <c r="K94" s="8"/>
      <c r="L94" s="8"/>
      <c r="M94" s="8"/>
      <c r="N94" s="8"/>
      <c r="O94" s="8"/>
      <c r="P94" s="8"/>
    </row>
    <row r="95" spans="1:16" x14ac:dyDescent="0.25">
      <c r="A95" s="8" t="s">
        <v>1874</v>
      </c>
      <c r="B95" s="8" t="s">
        <v>2049</v>
      </c>
      <c r="C95" s="8" t="s">
        <v>2050</v>
      </c>
      <c r="D95" s="29" t="s">
        <v>1877</v>
      </c>
      <c r="E95" s="8" t="s">
        <v>24</v>
      </c>
      <c r="F95" s="8" t="s">
        <v>24</v>
      </c>
      <c r="G95" s="25">
        <v>100</v>
      </c>
      <c r="H95" s="27"/>
      <c r="I95" s="8"/>
      <c r="J95" s="8"/>
      <c r="K95" s="8"/>
      <c r="L95" s="8"/>
      <c r="M95" s="8"/>
      <c r="N95" s="8"/>
      <c r="O95" s="8"/>
      <c r="P95" s="8"/>
    </row>
    <row r="96" spans="1:16" x14ac:dyDescent="0.25">
      <c r="A96" s="8" t="s">
        <v>1874</v>
      </c>
      <c r="B96" s="8" t="s">
        <v>2051</v>
      </c>
      <c r="C96" s="8" t="s">
        <v>2052</v>
      </c>
      <c r="D96" s="29" t="s">
        <v>1877</v>
      </c>
      <c r="E96" s="8" t="s">
        <v>24</v>
      </c>
      <c r="F96" s="8" t="s">
        <v>24</v>
      </c>
      <c r="G96" s="25">
        <v>100</v>
      </c>
      <c r="H96" s="27"/>
      <c r="I96" s="8"/>
      <c r="J96" s="8"/>
      <c r="K96" s="8"/>
      <c r="L96" s="8"/>
      <c r="M96" s="8"/>
      <c r="N96" s="8"/>
      <c r="O96" s="8"/>
      <c r="P96" s="8"/>
    </row>
    <row r="97" spans="1:16" x14ac:dyDescent="0.25">
      <c r="A97" s="8" t="s">
        <v>1874</v>
      </c>
      <c r="B97" s="8" t="s">
        <v>2053</v>
      </c>
      <c r="C97" s="8" t="s">
        <v>2054</v>
      </c>
      <c r="D97" s="29" t="s">
        <v>1877</v>
      </c>
      <c r="E97" s="8" t="s">
        <v>195</v>
      </c>
      <c r="F97" s="8" t="s">
        <v>24</v>
      </c>
      <c r="G97" s="25"/>
      <c r="H97" s="27"/>
      <c r="I97" s="8"/>
      <c r="J97" s="8"/>
      <c r="K97" s="8"/>
      <c r="L97" s="8"/>
      <c r="M97" s="8"/>
      <c r="N97" s="8"/>
      <c r="O97" s="8"/>
      <c r="P97" s="8"/>
    </row>
    <row r="98" spans="1:16" x14ac:dyDescent="0.25">
      <c r="A98" s="8" t="s">
        <v>1874</v>
      </c>
      <c r="B98" s="8" t="s">
        <v>2055</v>
      </c>
      <c r="C98" s="8" t="s">
        <v>2056</v>
      </c>
      <c r="D98" s="29" t="s">
        <v>1877</v>
      </c>
      <c r="E98" s="8" t="s">
        <v>195</v>
      </c>
      <c r="F98" s="8" t="s">
        <v>24</v>
      </c>
      <c r="G98" s="25"/>
      <c r="H98" s="27"/>
      <c r="I98" s="8"/>
      <c r="J98" s="8"/>
      <c r="K98" s="8"/>
      <c r="L98" s="8"/>
      <c r="M98" s="8"/>
      <c r="N98" s="8"/>
      <c r="O98" s="8"/>
      <c r="P98" s="8"/>
    </row>
    <row r="99" spans="1:16" x14ac:dyDescent="0.25">
      <c r="A99" s="8" t="s">
        <v>1874</v>
      </c>
      <c r="B99" s="8" t="s">
        <v>2057</v>
      </c>
      <c r="C99" s="8" t="s">
        <v>2058</v>
      </c>
      <c r="D99" s="29" t="s">
        <v>1877</v>
      </c>
      <c r="E99" s="8" t="s">
        <v>24</v>
      </c>
      <c r="F99" s="8" t="s">
        <v>24</v>
      </c>
      <c r="G99" s="25"/>
      <c r="H99" s="27"/>
      <c r="I99" s="8"/>
      <c r="J99" s="8"/>
      <c r="K99" s="8"/>
      <c r="L99" s="8"/>
      <c r="M99" s="8"/>
      <c r="N99" s="8"/>
      <c r="O99" s="8"/>
      <c r="P99" s="8"/>
    </row>
    <row r="100" spans="1:16" x14ac:dyDescent="0.25">
      <c r="A100" s="8" t="s">
        <v>1874</v>
      </c>
      <c r="B100" s="8" t="s">
        <v>2059</v>
      </c>
      <c r="C100" s="8" t="s">
        <v>2060</v>
      </c>
      <c r="D100" s="29" t="s">
        <v>1877</v>
      </c>
      <c r="E100" s="8" t="s">
        <v>195</v>
      </c>
      <c r="F100" s="8" t="s">
        <v>24</v>
      </c>
      <c r="G100" s="25"/>
      <c r="H100" s="27"/>
      <c r="I100" s="8"/>
      <c r="J100" s="8"/>
      <c r="K100" s="8"/>
      <c r="L100" s="8"/>
      <c r="M100" s="8"/>
      <c r="N100" s="8"/>
      <c r="O100" s="8"/>
      <c r="P100" s="8"/>
    </row>
    <row r="101" spans="1:16" x14ac:dyDescent="0.25">
      <c r="A101" s="8" t="s">
        <v>1874</v>
      </c>
      <c r="B101" s="8" t="s">
        <v>2061</v>
      </c>
      <c r="C101" s="8" t="s">
        <v>2062</v>
      </c>
      <c r="D101" s="29" t="s">
        <v>1877</v>
      </c>
      <c r="E101" s="8" t="s">
        <v>195</v>
      </c>
      <c r="F101" s="8" t="s">
        <v>24</v>
      </c>
      <c r="G101" s="25"/>
      <c r="H101" s="27"/>
      <c r="I101" s="8"/>
      <c r="J101" s="8"/>
      <c r="K101" s="8"/>
      <c r="L101" s="8"/>
      <c r="M101" s="8"/>
      <c r="N101" s="8"/>
      <c r="O101" s="8"/>
      <c r="P101" s="8"/>
    </row>
    <row r="102" spans="1:16" x14ac:dyDescent="0.25">
      <c r="A102" s="8" t="s">
        <v>1874</v>
      </c>
      <c r="B102" s="8" t="s">
        <v>2063</v>
      </c>
      <c r="C102" s="8" t="s">
        <v>2064</v>
      </c>
      <c r="D102" s="29" t="s">
        <v>1877</v>
      </c>
      <c r="E102" s="8" t="s">
        <v>195</v>
      </c>
      <c r="F102" s="8" t="s">
        <v>24</v>
      </c>
      <c r="G102" s="25"/>
      <c r="H102" s="27"/>
      <c r="I102" s="8"/>
      <c r="J102" s="8"/>
      <c r="K102" s="8"/>
      <c r="L102" s="8"/>
      <c r="M102" s="8"/>
      <c r="N102" s="8"/>
      <c r="O102" s="8"/>
      <c r="P102" s="8"/>
    </row>
    <row r="103" spans="1:16" x14ac:dyDescent="0.25">
      <c r="A103" s="8" t="s">
        <v>1874</v>
      </c>
      <c r="B103" s="8" t="s">
        <v>2065</v>
      </c>
      <c r="C103" s="8" t="s">
        <v>2066</v>
      </c>
      <c r="D103" s="29" t="s">
        <v>1877</v>
      </c>
      <c r="E103" s="8" t="s">
        <v>195</v>
      </c>
      <c r="F103" s="8" t="s">
        <v>24</v>
      </c>
      <c r="G103" s="25"/>
      <c r="H103" s="27"/>
      <c r="I103" s="8"/>
      <c r="J103" s="8"/>
      <c r="K103" s="8"/>
      <c r="L103" s="8"/>
      <c r="M103" s="8"/>
      <c r="N103" s="8"/>
      <c r="O103" s="8"/>
      <c r="P103" s="8"/>
    </row>
    <row r="104" spans="1:16" x14ac:dyDescent="0.25">
      <c r="A104" s="8" t="s">
        <v>1874</v>
      </c>
      <c r="B104" s="8" t="s">
        <v>2067</v>
      </c>
      <c r="C104" s="8" t="s">
        <v>2068</v>
      </c>
      <c r="D104" s="29" t="s">
        <v>1877</v>
      </c>
      <c r="E104" s="8" t="s">
        <v>195</v>
      </c>
      <c r="F104" s="8" t="s">
        <v>24</v>
      </c>
      <c r="G104" s="25"/>
      <c r="H104" s="27"/>
      <c r="I104" s="8"/>
      <c r="J104" s="8"/>
      <c r="K104" s="8"/>
      <c r="L104" s="8"/>
      <c r="M104" s="8"/>
      <c r="N104" s="8"/>
      <c r="O104" s="8"/>
      <c r="P104" s="8"/>
    </row>
    <row r="105" spans="1:16" ht="15" customHeight="1" x14ac:dyDescent="0.25">
      <c r="A105" s="8" t="s">
        <v>1874</v>
      </c>
      <c r="B105" s="8" t="s">
        <v>2069</v>
      </c>
      <c r="C105" s="8" t="s">
        <v>2070</v>
      </c>
      <c r="D105" s="29" t="s">
        <v>1877</v>
      </c>
      <c r="E105" s="8" t="s">
        <v>195</v>
      </c>
      <c r="F105" s="8" t="s">
        <v>24</v>
      </c>
      <c r="G105" s="25"/>
      <c r="H105" s="27"/>
      <c r="I105" s="8"/>
      <c r="J105" s="8"/>
      <c r="K105" s="8"/>
      <c r="L105" s="8"/>
      <c r="M105" s="8"/>
      <c r="N105" s="8"/>
      <c r="O105" s="8"/>
      <c r="P105" s="8"/>
    </row>
    <row r="106" spans="1:16" ht="30" x14ac:dyDescent="0.25">
      <c r="A106" s="8" t="s">
        <v>1878</v>
      </c>
      <c r="B106" s="8" t="s">
        <v>2071</v>
      </c>
      <c r="C106" s="8" t="s">
        <v>2072</v>
      </c>
      <c r="D106" s="29" t="s">
        <v>1881</v>
      </c>
      <c r="E106" s="8" t="s">
        <v>195</v>
      </c>
      <c r="F106" s="8" t="s">
        <v>24</v>
      </c>
      <c r="G106" s="25"/>
      <c r="H106" s="27"/>
      <c r="I106" s="8"/>
      <c r="J106" s="8"/>
      <c r="K106" s="8"/>
      <c r="L106" s="8"/>
      <c r="M106" s="8"/>
      <c r="N106" s="8"/>
      <c r="O106" s="8"/>
      <c r="P106" s="8"/>
    </row>
    <row r="107" spans="1:16" x14ac:dyDescent="0.25">
      <c r="A107" s="8" t="s">
        <v>1874</v>
      </c>
      <c r="B107" s="8" t="s">
        <v>2073</v>
      </c>
      <c r="C107" s="8" t="s">
        <v>2074</v>
      </c>
      <c r="D107" s="29" t="s">
        <v>1877</v>
      </c>
      <c r="E107" s="8" t="s">
        <v>195</v>
      </c>
      <c r="F107" s="8" t="s">
        <v>24</v>
      </c>
      <c r="G107" s="25">
        <v>30</v>
      </c>
      <c r="H107" s="27"/>
      <c r="I107" s="8"/>
      <c r="J107" s="8"/>
      <c r="K107" s="8"/>
      <c r="L107" s="8"/>
      <c r="M107" s="8"/>
      <c r="N107" s="8"/>
      <c r="O107" s="8"/>
      <c r="P107" s="8"/>
    </row>
    <row r="108" spans="1:16" x14ac:dyDescent="0.25">
      <c r="A108" s="8" t="s">
        <v>1874</v>
      </c>
      <c r="B108" s="8" t="s">
        <v>2075</v>
      </c>
      <c r="C108" s="8" t="s">
        <v>2076</v>
      </c>
      <c r="D108" s="29" t="s">
        <v>1913</v>
      </c>
      <c r="E108" s="8" t="s">
        <v>195</v>
      </c>
      <c r="F108" s="8" t="s">
        <v>24</v>
      </c>
      <c r="G108" s="25"/>
      <c r="H108" s="27"/>
      <c r="I108" s="8"/>
      <c r="J108" s="8"/>
      <c r="K108" s="8"/>
      <c r="L108" s="8"/>
      <c r="M108" s="8"/>
      <c r="N108" s="8"/>
      <c r="O108" s="8"/>
      <c r="P108" s="8"/>
    </row>
    <row r="109" spans="1:16" x14ac:dyDescent="0.25">
      <c r="A109" s="8" t="s">
        <v>1874</v>
      </c>
      <c r="B109" s="8" t="s">
        <v>2077</v>
      </c>
      <c r="C109" s="8" t="s">
        <v>2078</v>
      </c>
      <c r="D109" s="29" t="s">
        <v>1877</v>
      </c>
      <c r="E109" s="8" t="s">
        <v>24</v>
      </c>
      <c r="F109" s="8" t="s">
        <v>24</v>
      </c>
      <c r="G109" s="25"/>
      <c r="H109" s="27"/>
      <c r="I109" s="8"/>
      <c r="J109" s="8"/>
      <c r="K109" s="8"/>
      <c r="L109" s="8"/>
      <c r="M109" s="8"/>
      <c r="N109" s="8"/>
      <c r="O109" s="8"/>
      <c r="P109" s="8"/>
    </row>
    <row r="110" spans="1:16" x14ac:dyDescent="0.25">
      <c r="A110" s="8" t="s">
        <v>1874</v>
      </c>
      <c r="B110" s="8" t="s">
        <v>2079</v>
      </c>
      <c r="C110" s="8" t="s">
        <v>2080</v>
      </c>
      <c r="D110" s="29" t="s">
        <v>1877</v>
      </c>
      <c r="E110" s="8" t="s">
        <v>195</v>
      </c>
      <c r="F110" s="8" t="s">
        <v>24</v>
      </c>
      <c r="G110" s="25"/>
      <c r="H110" s="27"/>
      <c r="I110" s="8"/>
      <c r="J110" s="8"/>
      <c r="K110" s="8"/>
      <c r="L110" s="8"/>
      <c r="M110" s="8"/>
      <c r="N110" s="8"/>
      <c r="O110" s="8"/>
      <c r="P110" s="8"/>
    </row>
    <row r="111" spans="1:16" x14ac:dyDescent="0.25">
      <c r="A111" s="8" t="s">
        <v>1874</v>
      </c>
      <c r="B111" s="8" t="s">
        <v>2081</v>
      </c>
      <c r="C111" s="8" t="s">
        <v>2082</v>
      </c>
      <c r="D111" s="29" t="s">
        <v>2030</v>
      </c>
      <c r="E111" s="8" t="s">
        <v>24</v>
      </c>
      <c r="F111" s="8" t="s">
        <v>24</v>
      </c>
      <c r="G111" s="25"/>
      <c r="H111" s="27"/>
      <c r="I111" s="8"/>
      <c r="J111" s="8"/>
      <c r="K111" s="8"/>
      <c r="L111" s="8"/>
      <c r="M111" s="8"/>
      <c r="N111" s="8"/>
      <c r="O111" s="8"/>
      <c r="P111" s="8"/>
    </row>
    <row r="112" spans="1:16" x14ac:dyDescent="0.25">
      <c r="A112" s="8" t="s">
        <v>1874</v>
      </c>
      <c r="B112" s="8" t="s">
        <v>2083</v>
      </c>
      <c r="C112" s="8" t="s">
        <v>2084</v>
      </c>
      <c r="D112" s="29" t="s">
        <v>1877</v>
      </c>
      <c r="E112" s="8" t="s">
        <v>195</v>
      </c>
      <c r="F112" s="8" t="s">
        <v>24</v>
      </c>
      <c r="G112" s="25"/>
      <c r="H112" s="27"/>
      <c r="I112" s="8"/>
      <c r="J112" s="8"/>
      <c r="K112" s="8"/>
      <c r="L112" s="8"/>
      <c r="M112" s="8"/>
      <c r="N112" s="8"/>
      <c r="O112" s="8"/>
      <c r="P112" s="8"/>
    </row>
    <row r="113" spans="1:16" x14ac:dyDescent="0.25">
      <c r="A113" s="8" t="s">
        <v>1874</v>
      </c>
      <c r="B113" s="8" t="s">
        <v>2085</v>
      </c>
      <c r="C113" s="8" t="s">
        <v>2086</v>
      </c>
      <c r="D113" s="29" t="s">
        <v>1877</v>
      </c>
      <c r="E113" s="8" t="s">
        <v>195</v>
      </c>
      <c r="F113" s="8" t="s">
        <v>24</v>
      </c>
      <c r="G113" s="25"/>
      <c r="H113" s="27"/>
      <c r="I113" s="8"/>
      <c r="J113" s="8"/>
      <c r="K113" s="8"/>
      <c r="L113" s="8"/>
      <c r="M113" s="8"/>
      <c r="N113" s="8"/>
      <c r="O113" s="8"/>
      <c r="P113" s="8"/>
    </row>
    <row r="114" spans="1:16" x14ac:dyDescent="0.25">
      <c r="A114" s="8" t="s">
        <v>1874</v>
      </c>
      <c r="B114" s="8" t="s">
        <v>2087</v>
      </c>
      <c r="C114" s="8" t="s">
        <v>2088</v>
      </c>
      <c r="D114" s="29" t="s">
        <v>1877</v>
      </c>
      <c r="E114" s="8" t="s">
        <v>195</v>
      </c>
      <c r="F114" s="8" t="s">
        <v>24</v>
      </c>
      <c r="G114" s="25"/>
      <c r="H114" s="27"/>
      <c r="I114" s="8"/>
      <c r="J114" s="8"/>
      <c r="K114" s="8"/>
      <c r="L114" s="8"/>
      <c r="M114" s="8"/>
      <c r="N114" s="8"/>
      <c r="O114" s="8"/>
      <c r="P114" s="8"/>
    </row>
    <row r="115" spans="1:16" x14ac:dyDescent="0.25">
      <c r="A115" s="8" t="s">
        <v>1874</v>
      </c>
      <c r="B115" s="8" t="s">
        <v>2089</v>
      </c>
      <c r="C115" s="8" t="s">
        <v>2090</v>
      </c>
      <c r="D115" s="29" t="s">
        <v>1877</v>
      </c>
      <c r="E115" s="8" t="s">
        <v>24</v>
      </c>
      <c r="F115" s="8" t="s">
        <v>24</v>
      </c>
      <c r="G115" s="25"/>
      <c r="H115" s="27"/>
      <c r="I115" s="8"/>
      <c r="J115" s="8"/>
      <c r="K115" s="8"/>
      <c r="L115" s="8"/>
      <c r="M115" s="8"/>
      <c r="N115" s="8"/>
      <c r="O115" s="8"/>
      <c r="P115" s="8"/>
    </row>
    <row r="116" spans="1:16" x14ac:dyDescent="0.25">
      <c r="A116" s="8" t="s">
        <v>1874</v>
      </c>
      <c r="B116" s="8" t="s">
        <v>2091</v>
      </c>
      <c r="C116" s="8" t="s">
        <v>2092</v>
      </c>
      <c r="D116" s="29" t="s">
        <v>1877</v>
      </c>
      <c r="E116" s="8" t="s">
        <v>24</v>
      </c>
      <c r="F116" s="8" t="s">
        <v>24</v>
      </c>
      <c r="G116" s="25"/>
      <c r="H116" s="27"/>
      <c r="I116" s="8"/>
      <c r="J116" s="8"/>
      <c r="K116" s="8"/>
      <c r="L116" s="8"/>
      <c r="M116" s="8"/>
      <c r="N116" s="8"/>
      <c r="O116" s="8"/>
      <c r="P116" s="8"/>
    </row>
    <row r="117" spans="1:16" x14ac:dyDescent="0.25">
      <c r="A117" s="8" t="s">
        <v>1874</v>
      </c>
      <c r="B117" s="8" t="s">
        <v>2093</v>
      </c>
      <c r="C117" s="8" t="s">
        <v>2094</v>
      </c>
      <c r="D117" s="29" t="s">
        <v>1877</v>
      </c>
      <c r="E117" s="8" t="s">
        <v>24</v>
      </c>
      <c r="F117" s="8" t="s">
        <v>24</v>
      </c>
      <c r="G117" s="25"/>
      <c r="H117" s="27"/>
      <c r="I117" s="8"/>
      <c r="J117" s="8"/>
      <c r="K117" s="8"/>
      <c r="L117" s="8"/>
      <c r="M117" s="8"/>
      <c r="N117" s="8"/>
      <c r="O117" s="8"/>
      <c r="P117" s="8"/>
    </row>
    <row r="118" spans="1:16" x14ac:dyDescent="0.25">
      <c r="A118" s="8" t="s">
        <v>1874</v>
      </c>
      <c r="B118" s="8" t="s">
        <v>2095</v>
      </c>
      <c r="C118" s="8" t="s">
        <v>2096</v>
      </c>
      <c r="D118" s="29" t="s">
        <v>1877</v>
      </c>
      <c r="E118" s="8" t="s">
        <v>195</v>
      </c>
      <c r="F118" s="8" t="s">
        <v>24</v>
      </c>
      <c r="G118" s="25"/>
      <c r="H118" s="27"/>
      <c r="I118" s="8"/>
      <c r="J118" s="8"/>
      <c r="K118" s="8"/>
      <c r="L118" s="8"/>
      <c r="M118" s="8"/>
      <c r="N118" s="8"/>
      <c r="O118" s="8"/>
      <c r="P118" s="8"/>
    </row>
    <row r="119" spans="1:16" x14ac:dyDescent="0.25">
      <c r="A119" s="8" t="s">
        <v>1874</v>
      </c>
      <c r="B119" s="8" t="s">
        <v>2097</v>
      </c>
      <c r="C119" s="8" t="s">
        <v>2098</v>
      </c>
      <c r="D119" s="29" t="s">
        <v>1877</v>
      </c>
      <c r="E119" s="8" t="s">
        <v>195</v>
      </c>
      <c r="F119" s="8" t="s">
        <v>24</v>
      </c>
      <c r="G119" s="25"/>
      <c r="H119" s="27"/>
      <c r="I119" s="8"/>
      <c r="J119" s="8"/>
      <c r="K119" s="8"/>
      <c r="L119" s="8"/>
      <c r="M119" s="8"/>
      <c r="N119" s="8"/>
      <c r="O119" s="8"/>
      <c r="P119" s="8"/>
    </row>
    <row r="120" spans="1:16" x14ac:dyDescent="0.25">
      <c r="A120" s="8" t="s">
        <v>1874</v>
      </c>
      <c r="B120" s="8" t="s">
        <v>2099</v>
      </c>
      <c r="C120" s="8" t="s">
        <v>2100</v>
      </c>
      <c r="D120" s="29" t="s">
        <v>1877</v>
      </c>
      <c r="E120" s="8" t="s">
        <v>195</v>
      </c>
      <c r="F120" s="8" t="s">
        <v>24</v>
      </c>
      <c r="G120" s="25"/>
      <c r="H120" s="27"/>
      <c r="I120" s="8"/>
      <c r="J120" s="8"/>
      <c r="K120" s="8"/>
      <c r="L120" s="8"/>
      <c r="M120" s="8"/>
      <c r="N120" s="8"/>
      <c r="O120" s="8"/>
      <c r="P120" s="8"/>
    </row>
    <row r="121" spans="1:16" x14ac:dyDescent="0.25">
      <c r="A121" s="8" t="s">
        <v>1874</v>
      </c>
      <c r="B121" s="8" t="s">
        <v>2101</v>
      </c>
      <c r="C121" s="8" t="s">
        <v>2102</v>
      </c>
      <c r="D121" s="29" t="s">
        <v>1877</v>
      </c>
      <c r="E121" s="8" t="s">
        <v>195</v>
      </c>
      <c r="F121" s="8" t="s">
        <v>24</v>
      </c>
      <c r="G121" s="25"/>
      <c r="H121" s="27"/>
      <c r="I121" s="8"/>
      <c r="J121" s="8"/>
      <c r="K121" s="8"/>
      <c r="L121" s="8"/>
      <c r="M121" s="8"/>
      <c r="N121" s="8"/>
      <c r="O121" s="8"/>
      <c r="P121" s="8"/>
    </row>
    <row r="122" spans="1:16" x14ac:dyDescent="0.25">
      <c r="A122" s="8" t="s">
        <v>1874</v>
      </c>
      <c r="B122" s="8" t="s">
        <v>2103</v>
      </c>
      <c r="C122" s="8" t="s">
        <v>2104</v>
      </c>
      <c r="D122" s="29" t="s">
        <v>1877</v>
      </c>
      <c r="E122" s="8" t="s">
        <v>195</v>
      </c>
      <c r="F122" s="8" t="s">
        <v>24</v>
      </c>
      <c r="G122" s="25"/>
      <c r="H122" s="27"/>
      <c r="I122" s="8"/>
      <c r="J122" s="8"/>
      <c r="K122" s="8"/>
      <c r="L122" s="8"/>
      <c r="M122" s="8"/>
      <c r="N122" s="8"/>
      <c r="O122" s="8"/>
      <c r="P122" s="8"/>
    </row>
    <row r="123" spans="1:16" x14ac:dyDescent="0.25">
      <c r="A123" s="8" t="s">
        <v>1874</v>
      </c>
      <c r="B123" s="8" t="s">
        <v>2105</v>
      </c>
      <c r="C123" s="8" t="s">
        <v>2106</v>
      </c>
      <c r="D123" s="29" t="s">
        <v>1877</v>
      </c>
      <c r="E123" s="8" t="s">
        <v>195</v>
      </c>
      <c r="F123" s="8" t="s">
        <v>24</v>
      </c>
      <c r="G123" s="25"/>
      <c r="H123" s="27"/>
      <c r="I123" s="8"/>
      <c r="J123" s="8"/>
      <c r="K123" s="8"/>
      <c r="L123" s="8"/>
      <c r="M123" s="8"/>
      <c r="N123" s="8"/>
      <c r="O123" s="8"/>
      <c r="P123" s="8"/>
    </row>
    <row r="124" spans="1:16" x14ac:dyDescent="0.25">
      <c r="A124" s="8" t="s">
        <v>1874</v>
      </c>
      <c r="B124" s="8" t="s">
        <v>2107</v>
      </c>
      <c r="C124" s="8" t="s">
        <v>2108</v>
      </c>
      <c r="D124" s="29" t="s">
        <v>1877</v>
      </c>
      <c r="E124" s="8" t="s">
        <v>195</v>
      </c>
      <c r="F124" s="8" t="s">
        <v>24</v>
      </c>
      <c r="G124" s="25"/>
      <c r="H124" s="27"/>
      <c r="I124" s="8"/>
      <c r="J124" s="8"/>
      <c r="K124" s="8"/>
      <c r="L124" s="8"/>
      <c r="M124" s="8"/>
      <c r="N124" s="8"/>
      <c r="O124" s="8"/>
      <c r="P124" s="8"/>
    </row>
    <row r="125" spans="1:16" x14ac:dyDescent="0.25">
      <c r="A125" s="8" t="s">
        <v>1874</v>
      </c>
      <c r="B125" s="8" t="s">
        <v>2109</v>
      </c>
      <c r="C125" s="8" t="s">
        <v>2110</v>
      </c>
      <c r="D125" s="29" t="s">
        <v>1877</v>
      </c>
      <c r="E125" s="8" t="s">
        <v>24</v>
      </c>
      <c r="F125" s="8" t="s">
        <v>24</v>
      </c>
      <c r="G125" s="25"/>
      <c r="H125" s="27"/>
      <c r="I125" s="8"/>
      <c r="J125" s="8"/>
      <c r="K125" s="8"/>
      <c r="L125" s="8"/>
      <c r="M125" s="8"/>
      <c r="N125" s="8"/>
      <c r="O125" s="8"/>
      <c r="P125" s="8"/>
    </row>
    <row r="126" spans="1:16" x14ac:dyDescent="0.25">
      <c r="A126" s="8" t="s">
        <v>1874</v>
      </c>
      <c r="B126" s="8" t="s">
        <v>2111</v>
      </c>
      <c r="C126" s="8" t="s">
        <v>2112</v>
      </c>
      <c r="D126" s="29" t="s">
        <v>1877</v>
      </c>
      <c r="E126" s="8" t="s">
        <v>195</v>
      </c>
      <c r="F126" s="8" t="s">
        <v>24</v>
      </c>
      <c r="G126" s="25"/>
      <c r="H126" s="27"/>
      <c r="I126" s="8"/>
      <c r="J126" s="8"/>
      <c r="K126" s="8"/>
      <c r="L126" s="8"/>
      <c r="M126" s="8"/>
      <c r="N126" s="8"/>
      <c r="O126" s="8"/>
      <c r="P126" s="8"/>
    </row>
    <row r="127" spans="1:16" x14ac:dyDescent="0.25">
      <c r="A127" s="8" t="s">
        <v>1874</v>
      </c>
      <c r="B127" s="8" t="s">
        <v>2113</v>
      </c>
      <c r="C127" s="8" t="s">
        <v>2114</v>
      </c>
      <c r="D127" s="29" t="s">
        <v>1877</v>
      </c>
      <c r="E127" s="8" t="s">
        <v>24</v>
      </c>
      <c r="F127" s="8" t="s">
        <v>24</v>
      </c>
      <c r="G127" s="25"/>
      <c r="H127" s="27"/>
      <c r="I127" s="8"/>
      <c r="J127" s="8"/>
      <c r="K127" s="8"/>
      <c r="L127" s="8"/>
      <c r="M127" s="8"/>
      <c r="N127" s="8"/>
      <c r="O127" s="8"/>
      <c r="P127" s="8"/>
    </row>
    <row r="128" spans="1:16" x14ac:dyDescent="0.25">
      <c r="A128" s="8" t="s">
        <v>1874</v>
      </c>
      <c r="B128" s="8" t="s">
        <v>2115</v>
      </c>
      <c r="C128" s="8" t="s">
        <v>2116</v>
      </c>
      <c r="D128" s="29" t="s">
        <v>1877</v>
      </c>
      <c r="E128" s="8" t="s">
        <v>24</v>
      </c>
      <c r="F128" s="8" t="s">
        <v>24</v>
      </c>
      <c r="G128" s="25"/>
      <c r="H128" s="27"/>
      <c r="I128" s="8"/>
      <c r="J128" s="8"/>
      <c r="K128" s="8"/>
      <c r="L128" s="8"/>
      <c r="M128" s="8"/>
      <c r="N128" s="8"/>
      <c r="O128" s="8"/>
      <c r="P128" s="8"/>
    </row>
    <row r="129" spans="1:16" x14ac:dyDescent="0.25">
      <c r="A129" s="8" t="s">
        <v>1874</v>
      </c>
      <c r="B129" s="8" t="s">
        <v>2117</v>
      </c>
      <c r="C129" s="8" t="s">
        <v>2118</v>
      </c>
      <c r="D129" s="29" t="s">
        <v>1877</v>
      </c>
      <c r="E129" s="8" t="s">
        <v>195</v>
      </c>
      <c r="F129" s="8" t="s">
        <v>24</v>
      </c>
      <c r="G129" s="25"/>
      <c r="H129" s="27"/>
      <c r="I129" s="8"/>
      <c r="J129" s="8"/>
      <c r="K129" s="8"/>
      <c r="L129" s="8"/>
      <c r="M129" s="8"/>
      <c r="N129" s="8"/>
      <c r="O129" s="8"/>
      <c r="P129" s="8"/>
    </row>
    <row r="130" spans="1:16" x14ac:dyDescent="0.25">
      <c r="A130" s="8" t="s">
        <v>1988</v>
      </c>
      <c r="B130" s="8" t="s">
        <v>2119</v>
      </c>
      <c r="C130" s="8" t="s">
        <v>2120</v>
      </c>
      <c r="D130" s="29" t="s">
        <v>2121</v>
      </c>
      <c r="E130" s="8" t="s">
        <v>195</v>
      </c>
      <c r="F130" s="8" t="s">
        <v>24</v>
      </c>
      <c r="G130" s="25"/>
      <c r="H130" s="27"/>
      <c r="I130" s="8"/>
      <c r="J130" s="8"/>
      <c r="K130" s="8"/>
      <c r="L130" s="8"/>
      <c r="M130" s="8"/>
      <c r="N130" s="8"/>
      <c r="O130" s="8"/>
      <c r="P130" s="8"/>
    </row>
    <row r="131" spans="1:16" x14ac:dyDescent="0.25">
      <c r="A131" s="8" t="s">
        <v>1988</v>
      </c>
      <c r="B131" s="8" t="s">
        <v>2122</v>
      </c>
      <c r="C131" s="8" t="s">
        <v>2123</v>
      </c>
      <c r="D131" s="29" t="s">
        <v>2121</v>
      </c>
      <c r="E131" s="8" t="s">
        <v>195</v>
      </c>
      <c r="F131" s="8" t="s">
        <v>24</v>
      </c>
      <c r="G131" s="25"/>
      <c r="H131" s="27"/>
      <c r="I131" s="8"/>
      <c r="J131" s="8"/>
      <c r="K131" s="8"/>
      <c r="L131" s="8"/>
      <c r="M131" s="8"/>
      <c r="N131" s="8"/>
      <c r="O131" s="8"/>
      <c r="P131" s="8"/>
    </row>
    <row r="132" spans="1:16" x14ac:dyDescent="0.25">
      <c r="A132" s="8" t="s">
        <v>1988</v>
      </c>
      <c r="B132" s="8" t="s">
        <v>2124</v>
      </c>
      <c r="C132" s="8" t="s">
        <v>2125</v>
      </c>
      <c r="D132" s="29" t="s">
        <v>2121</v>
      </c>
      <c r="E132" s="8" t="s">
        <v>195</v>
      </c>
      <c r="F132" s="8" t="s">
        <v>24</v>
      </c>
      <c r="G132" s="25"/>
      <c r="H132" s="27"/>
      <c r="I132" s="8"/>
      <c r="J132" s="8"/>
      <c r="K132" s="8"/>
      <c r="L132" s="8"/>
      <c r="M132" s="8"/>
      <c r="N132" s="8"/>
      <c r="O132" s="8"/>
      <c r="P132" s="8"/>
    </row>
    <row r="133" spans="1:16" x14ac:dyDescent="0.25">
      <c r="A133" s="8" t="s">
        <v>1988</v>
      </c>
      <c r="B133" s="8" t="s">
        <v>2126</v>
      </c>
      <c r="C133" s="8" t="s">
        <v>2127</v>
      </c>
      <c r="D133" s="29" t="s">
        <v>2121</v>
      </c>
      <c r="E133" s="8" t="s">
        <v>195</v>
      </c>
      <c r="F133" s="8" t="s">
        <v>24</v>
      </c>
      <c r="G133" s="25"/>
      <c r="H133" s="27"/>
      <c r="I133" s="8"/>
      <c r="J133" s="8"/>
      <c r="K133" s="8"/>
      <c r="L133" s="8"/>
      <c r="M133" s="8"/>
      <c r="N133" s="8"/>
      <c r="O133" s="8"/>
      <c r="P133" s="8"/>
    </row>
    <row r="134" spans="1:16" x14ac:dyDescent="0.25">
      <c r="A134" s="8" t="s">
        <v>1988</v>
      </c>
      <c r="B134" s="8" t="s">
        <v>2128</v>
      </c>
      <c r="C134" s="8" t="s">
        <v>2129</v>
      </c>
      <c r="D134" s="29" t="s">
        <v>2121</v>
      </c>
      <c r="E134" s="8" t="s">
        <v>195</v>
      </c>
      <c r="F134" s="8" t="s">
        <v>24</v>
      </c>
      <c r="G134" s="25"/>
      <c r="H134" s="27"/>
      <c r="I134" s="8"/>
      <c r="J134" s="8"/>
      <c r="K134" s="8"/>
      <c r="L134" s="8"/>
      <c r="M134" s="8"/>
      <c r="N134" s="8"/>
      <c r="O134" s="8"/>
      <c r="P134" s="8"/>
    </row>
    <row r="135" spans="1:16" x14ac:dyDescent="0.25">
      <c r="A135" s="8" t="s">
        <v>1988</v>
      </c>
      <c r="B135" s="8" t="s">
        <v>2130</v>
      </c>
      <c r="C135" s="8" t="s">
        <v>2131</v>
      </c>
      <c r="D135" s="29" t="s">
        <v>2121</v>
      </c>
      <c r="E135" s="8" t="s">
        <v>195</v>
      </c>
      <c r="F135" s="8" t="s">
        <v>24</v>
      </c>
      <c r="G135" s="25"/>
      <c r="H135" s="27"/>
      <c r="I135" s="8"/>
      <c r="J135" s="8"/>
      <c r="K135" s="8"/>
      <c r="L135" s="8"/>
      <c r="M135" s="8"/>
      <c r="N135" s="8"/>
      <c r="O135" s="8"/>
      <c r="P135" s="8"/>
    </row>
    <row r="136" spans="1:16" x14ac:dyDescent="0.25">
      <c r="A136" s="8" t="s">
        <v>1988</v>
      </c>
      <c r="B136" s="8" t="s">
        <v>2132</v>
      </c>
      <c r="C136" s="8" t="s">
        <v>2133</v>
      </c>
      <c r="D136" s="29" t="s">
        <v>2121</v>
      </c>
      <c r="E136" s="8" t="s">
        <v>195</v>
      </c>
      <c r="F136" s="8" t="s">
        <v>24</v>
      </c>
      <c r="G136" s="25"/>
      <c r="H136" s="27"/>
      <c r="I136" s="8"/>
      <c r="J136" s="8"/>
      <c r="K136" s="8"/>
      <c r="L136" s="8"/>
      <c r="M136" s="8"/>
      <c r="N136" s="8"/>
      <c r="O136" s="8"/>
      <c r="P136" s="8"/>
    </row>
    <row r="137" spans="1:16" x14ac:dyDescent="0.25">
      <c r="A137" s="8" t="s">
        <v>1988</v>
      </c>
      <c r="B137" s="8" t="s">
        <v>2134</v>
      </c>
      <c r="C137" s="8" t="s">
        <v>2135</v>
      </c>
      <c r="D137" s="29" t="s">
        <v>2121</v>
      </c>
      <c r="E137" s="8" t="s">
        <v>195</v>
      </c>
      <c r="F137" s="8" t="s">
        <v>24</v>
      </c>
      <c r="G137" s="25"/>
      <c r="H137" s="27"/>
      <c r="I137" s="8"/>
      <c r="J137" s="8"/>
      <c r="K137" s="8"/>
      <c r="L137" s="8"/>
      <c r="M137" s="8"/>
      <c r="N137" s="8"/>
      <c r="O137" s="8"/>
      <c r="P137" s="8"/>
    </row>
    <row r="138" spans="1:16" x14ac:dyDescent="0.25">
      <c r="A138" s="8" t="s">
        <v>1988</v>
      </c>
      <c r="B138" s="8" t="s">
        <v>2136</v>
      </c>
      <c r="C138" s="8" t="s">
        <v>2137</v>
      </c>
      <c r="D138" s="29" t="s">
        <v>2121</v>
      </c>
      <c r="E138" s="8" t="s">
        <v>195</v>
      </c>
      <c r="F138" s="8" t="s">
        <v>24</v>
      </c>
      <c r="G138" s="25"/>
      <c r="H138" s="27"/>
      <c r="I138" s="8"/>
      <c r="J138" s="8"/>
      <c r="K138" s="8"/>
      <c r="L138" s="8"/>
      <c r="M138" s="8"/>
      <c r="N138" s="8"/>
      <c r="O138" s="8"/>
      <c r="P138" s="8"/>
    </row>
    <row r="139" spans="1:16" x14ac:dyDescent="0.25">
      <c r="A139" s="8" t="s">
        <v>1988</v>
      </c>
      <c r="B139" s="8" t="s">
        <v>2138</v>
      </c>
      <c r="C139" s="8" t="s">
        <v>2139</v>
      </c>
      <c r="D139" s="29" t="s">
        <v>2121</v>
      </c>
      <c r="E139" s="8" t="s">
        <v>195</v>
      </c>
      <c r="F139" s="8" t="s">
        <v>24</v>
      </c>
      <c r="G139" s="25"/>
      <c r="H139" s="27"/>
      <c r="I139" s="8"/>
      <c r="J139" s="8"/>
      <c r="K139" s="8"/>
      <c r="L139" s="8"/>
      <c r="M139" s="8"/>
      <c r="N139" s="8"/>
      <c r="O139" s="8"/>
      <c r="P139" s="8"/>
    </row>
    <row r="140" spans="1:16" x14ac:dyDescent="0.25">
      <c r="A140" s="8" t="s">
        <v>1988</v>
      </c>
      <c r="B140" s="8" t="s">
        <v>2140</v>
      </c>
      <c r="C140" s="8" t="s">
        <v>2141</v>
      </c>
      <c r="D140" s="29" t="s">
        <v>2121</v>
      </c>
      <c r="E140" s="8" t="s">
        <v>195</v>
      </c>
      <c r="F140" s="8" t="s">
        <v>24</v>
      </c>
      <c r="G140" s="25"/>
      <c r="H140" s="27"/>
      <c r="I140" s="8"/>
      <c r="J140" s="8"/>
      <c r="K140" s="8"/>
      <c r="L140" s="8"/>
      <c r="M140" s="8"/>
      <c r="N140" s="8"/>
      <c r="O140" s="8"/>
      <c r="P140" s="8"/>
    </row>
    <row r="141" spans="1:16" x14ac:dyDescent="0.25">
      <c r="A141" s="8" t="s">
        <v>1874</v>
      </c>
      <c r="B141" s="8" t="s">
        <v>2142</v>
      </c>
      <c r="C141" s="8" t="s">
        <v>2143</v>
      </c>
      <c r="D141" s="29" t="s">
        <v>1877</v>
      </c>
      <c r="E141" s="8" t="s">
        <v>195</v>
      </c>
      <c r="F141" s="8" t="s">
        <v>24</v>
      </c>
      <c r="G141" s="25"/>
      <c r="H141" s="27"/>
      <c r="I141" s="8"/>
      <c r="J141" s="8"/>
      <c r="K141" s="8"/>
      <c r="L141" s="8"/>
      <c r="M141" s="8"/>
      <c r="N141" s="8"/>
      <c r="O141" s="8"/>
      <c r="P141" s="8"/>
    </row>
    <row r="142" spans="1:16" x14ac:dyDescent="0.25">
      <c r="A142" s="8" t="s">
        <v>1874</v>
      </c>
      <c r="B142" s="8" t="s">
        <v>2144</v>
      </c>
      <c r="C142" s="8" t="s">
        <v>2145</v>
      </c>
      <c r="D142" s="29" t="s">
        <v>1877</v>
      </c>
      <c r="E142" s="8" t="s">
        <v>24</v>
      </c>
      <c r="F142" s="8" t="s">
        <v>24</v>
      </c>
      <c r="G142" s="25"/>
      <c r="H142" s="27"/>
      <c r="I142" s="8"/>
      <c r="J142" s="8"/>
      <c r="K142" s="8"/>
      <c r="L142" s="8"/>
      <c r="M142" s="8"/>
      <c r="N142" s="8"/>
      <c r="O142" s="8"/>
      <c r="P142" s="8"/>
    </row>
    <row r="143" spans="1:16" x14ac:dyDescent="0.25">
      <c r="A143" s="8" t="s">
        <v>1874</v>
      </c>
      <c r="B143" s="8" t="s">
        <v>2146</v>
      </c>
      <c r="C143" s="8" t="s">
        <v>2147</v>
      </c>
      <c r="D143" s="29" t="s">
        <v>1877</v>
      </c>
      <c r="E143" s="8" t="s">
        <v>195</v>
      </c>
      <c r="F143" s="8" t="s">
        <v>24</v>
      </c>
      <c r="G143" s="25"/>
      <c r="H143" s="27"/>
      <c r="I143" s="8"/>
      <c r="J143" s="8"/>
      <c r="K143" s="8"/>
      <c r="L143" s="8"/>
      <c r="M143" s="8"/>
      <c r="N143" s="8"/>
      <c r="O143" s="8"/>
      <c r="P143" s="8"/>
    </row>
    <row r="144" spans="1:16" x14ac:dyDescent="0.25">
      <c r="A144" s="8" t="s">
        <v>1874</v>
      </c>
      <c r="B144" s="8" t="s">
        <v>2148</v>
      </c>
      <c r="C144" s="8" t="s">
        <v>2149</v>
      </c>
      <c r="D144" s="29" t="s">
        <v>1877</v>
      </c>
      <c r="E144" s="8" t="s">
        <v>24</v>
      </c>
      <c r="F144" s="8" t="s">
        <v>24</v>
      </c>
      <c r="G144" s="25"/>
      <c r="H144" s="27"/>
      <c r="I144" s="8"/>
      <c r="J144" s="8"/>
      <c r="K144" s="8"/>
      <c r="L144" s="8"/>
      <c r="M144" s="8"/>
      <c r="N144" s="8"/>
      <c r="O144" s="8"/>
      <c r="P144" s="8"/>
    </row>
    <row r="145" spans="1:16" x14ac:dyDescent="0.25">
      <c r="A145" s="8" t="s">
        <v>1914</v>
      </c>
      <c r="B145" s="8" t="s">
        <v>2150</v>
      </c>
      <c r="C145" s="8" t="s">
        <v>2151</v>
      </c>
      <c r="D145" s="29" t="s">
        <v>1917</v>
      </c>
      <c r="E145" s="8" t="s">
        <v>195</v>
      </c>
      <c r="F145" s="8" t="s">
        <v>24</v>
      </c>
      <c r="G145" s="25"/>
      <c r="H145" s="27" t="str">
        <f>HYPERLINK("https://doc.morningstar.com/Document/0283357ed36b05a1579c6d36e12fc460.msdoc?clientid=fnz&amp;key=9c0e4d166b60ffd3","TMD")</f>
        <v>TMD</v>
      </c>
      <c r="I145" s="8" t="s">
        <v>25</v>
      </c>
      <c r="J145" s="8" t="s">
        <v>25</v>
      </c>
      <c r="K145" s="8" t="s">
        <v>25</v>
      </c>
      <c r="L145" s="8" t="s">
        <v>25</v>
      </c>
      <c r="M145" s="8" t="s">
        <v>26</v>
      </c>
      <c r="N145" s="8" t="s">
        <v>26</v>
      </c>
      <c r="O145" s="8" t="s">
        <v>26</v>
      </c>
      <c r="P145" s="8" t="s">
        <v>27</v>
      </c>
    </row>
    <row r="146" spans="1:16" x14ac:dyDescent="0.25">
      <c r="A146" s="8" t="s">
        <v>1874</v>
      </c>
      <c r="B146" s="8" t="s">
        <v>2152</v>
      </c>
      <c r="C146" s="8" t="s">
        <v>2153</v>
      </c>
      <c r="D146" s="29" t="s">
        <v>1877</v>
      </c>
      <c r="E146" s="8" t="s">
        <v>24</v>
      </c>
      <c r="F146" s="8" t="s">
        <v>24</v>
      </c>
      <c r="G146" s="25"/>
      <c r="H146" s="27"/>
      <c r="I146" s="8"/>
      <c r="J146" s="8"/>
      <c r="K146" s="8"/>
      <c r="L146" s="8"/>
      <c r="M146" s="8"/>
      <c r="N146" s="8"/>
      <c r="O146" s="8"/>
      <c r="P146" s="8"/>
    </row>
    <row r="147" spans="1:16" x14ac:dyDescent="0.25">
      <c r="A147" s="8" t="s">
        <v>1874</v>
      </c>
      <c r="B147" s="8" t="s">
        <v>2154</v>
      </c>
      <c r="C147" s="8" t="s">
        <v>2155</v>
      </c>
      <c r="D147" s="29" t="s">
        <v>1877</v>
      </c>
      <c r="E147" s="8" t="s">
        <v>24</v>
      </c>
      <c r="F147" s="8" t="s">
        <v>24</v>
      </c>
      <c r="G147" s="25">
        <v>100</v>
      </c>
      <c r="H147" s="27"/>
      <c r="I147" s="8"/>
      <c r="J147" s="8"/>
      <c r="K147" s="8"/>
      <c r="L147" s="8"/>
      <c r="M147" s="8"/>
      <c r="N147" s="8"/>
      <c r="O147" s="8"/>
      <c r="P147" s="8"/>
    </row>
    <row r="148" spans="1:16" x14ac:dyDescent="0.25">
      <c r="A148" s="8" t="s">
        <v>1874</v>
      </c>
      <c r="B148" s="8" t="s">
        <v>2156</v>
      </c>
      <c r="C148" s="8" t="s">
        <v>2157</v>
      </c>
      <c r="D148" s="29" t="s">
        <v>1877</v>
      </c>
      <c r="E148" s="8" t="s">
        <v>195</v>
      </c>
      <c r="F148" s="8" t="s">
        <v>24</v>
      </c>
      <c r="G148" s="25"/>
      <c r="H148" s="27"/>
      <c r="I148" s="8"/>
      <c r="J148" s="8"/>
      <c r="K148" s="8"/>
      <c r="L148" s="8"/>
      <c r="M148" s="8"/>
      <c r="N148" s="8"/>
      <c r="O148" s="8"/>
      <c r="P148" s="8"/>
    </row>
    <row r="149" spans="1:16" x14ac:dyDescent="0.25">
      <c r="A149" s="8" t="s">
        <v>1874</v>
      </c>
      <c r="B149" s="8" t="s">
        <v>2158</v>
      </c>
      <c r="C149" s="8" t="s">
        <v>2159</v>
      </c>
      <c r="D149" s="29" t="s">
        <v>1877</v>
      </c>
      <c r="E149" s="8" t="s">
        <v>195</v>
      </c>
      <c r="F149" s="8" t="s">
        <v>24</v>
      </c>
      <c r="G149" s="25"/>
      <c r="H149" s="27"/>
      <c r="I149" s="8"/>
      <c r="J149" s="8"/>
      <c r="K149" s="8"/>
      <c r="L149" s="8"/>
      <c r="M149" s="8"/>
      <c r="N149" s="8"/>
      <c r="O149" s="8"/>
      <c r="P149" s="8"/>
    </row>
    <row r="150" spans="1:16" x14ac:dyDescent="0.25">
      <c r="A150" s="8" t="s">
        <v>1874</v>
      </c>
      <c r="B150" s="8" t="s">
        <v>2160</v>
      </c>
      <c r="C150" s="8" t="s">
        <v>2161</v>
      </c>
      <c r="D150" s="29" t="s">
        <v>1877</v>
      </c>
      <c r="E150" s="8" t="s">
        <v>195</v>
      </c>
      <c r="F150" s="8" t="s">
        <v>24</v>
      </c>
      <c r="G150" s="25"/>
      <c r="H150" s="27"/>
      <c r="I150" s="8"/>
      <c r="J150" s="8"/>
      <c r="K150" s="8"/>
      <c r="L150" s="8"/>
      <c r="M150" s="8"/>
      <c r="N150" s="8"/>
      <c r="O150" s="8"/>
      <c r="P150" s="8"/>
    </row>
    <row r="151" spans="1:16" x14ac:dyDescent="0.25">
      <c r="A151" s="8" t="s">
        <v>1874</v>
      </c>
      <c r="B151" s="8" t="s">
        <v>2162</v>
      </c>
      <c r="C151" s="8" t="s">
        <v>2163</v>
      </c>
      <c r="D151" s="29" t="s">
        <v>1877</v>
      </c>
      <c r="E151" s="8" t="s">
        <v>195</v>
      </c>
      <c r="F151" s="8" t="s">
        <v>24</v>
      </c>
      <c r="G151" s="25"/>
      <c r="H151" s="27"/>
      <c r="I151" s="8"/>
      <c r="J151" s="8"/>
      <c r="K151" s="8"/>
      <c r="L151" s="8"/>
      <c r="M151" s="8"/>
      <c r="N151" s="8"/>
      <c r="O151" s="8"/>
      <c r="P151" s="8"/>
    </row>
    <row r="152" spans="1:16" x14ac:dyDescent="0.25">
      <c r="A152" s="8" t="s">
        <v>1874</v>
      </c>
      <c r="B152" s="8" t="s">
        <v>2164</v>
      </c>
      <c r="C152" s="8" t="s">
        <v>2165</v>
      </c>
      <c r="D152" s="29" t="s">
        <v>1877</v>
      </c>
      <c r="E152" s="8" t="s">
        <v>195</v>
      </c>
      <c r="F152" s="8" t="s">
        <v>24</v>
      </c>
      <c r="G152" s="25"/>
      <c r="H152" s="27"/>
      <c r="I152" s="8"/>
      <c r="J152" s="8"/>
      <c r="K152" s="8"/>
      <c r="L152" s="8"/>
      <c r="M152" s="8"/>
      <c r="N152" s="8"/>
      <c r="O152" s="8"/>
      <c r="P152" s="8"/>
    </row>
    <row r="153" spans="1:16" x14ac:dyDescent="0.25">
      <c r="A153" s="8" t="s">
        <v>1874</v>
      </c>
      <c r="B153" s="8" t="s">
        <v>2166</v>
      </c>
      <c r="C153" s="8" t="s">
        <v>2167</v>
      </c>
      <c r="D153" s="29" t="s">
        <v>1877</v>
      </c>
      <c r="E153" s="8" t="s">
        <v>195</v>
      </c>
      <c r="F153" s="8" t="s">
        <v>24</v>
      </c>
      <c r="G153" s="25"/>
      <c r="H153" s="27"/>
      <c r="I153" s="8"/>
      <c r="J153" s="8"/>
      <c r="K153" s="8"/>
      <c r="L153" s="8"/>
      <c r="M153" s="8"/>
      <c r="N153" s="8"/>
      <c r="O153" s="8"/>
      <c r="P153" s="8"/>
    </row>
    <row r="154" spans="1:16" x14ac:dyDescent="0.25">
      <c r="A154" s="8" t="s">
        <v>1874</v>
      </c>
      <c r="B154" s="8" t="s">
        <v>2168</v>
      </c>
      <c r="C154" s="8" t="s">
        <v>2169</v>
      </c>
      <c r="D154" s="29" t="s">
        <v>1913</v>
      </c>
      <c r="E154" s="8" t="s">
        <v>195</v>
      </c>
      <c r="F154" s="8" t="s">
        <v>24</v>
      </c>
      <c r="G154" s="25"/>
      <c r="H154" s="27"/>
      <c r="I154" s="8"/>
      <c r="J154" s="8"/>
      <c r="K154" s="8"/>
      <c r="L154" s="8"/>
      <c r="M154" s="8"/>
      <c r="N154" s="8"/>
      <c r="O154" s="8"/>
      <c r="P154" s="8"/>
    </row>
    <row r="155" spans="1:16" x14ac:dyDescent="0.25">
      <c r="A155" s="8" t="s">
        <v>1874</v>
      </c>
      <c r="B155" s="8" t="s">
        <v>2170</v>
      </c>
      <c r="C155" s="8" t="s">
        <v>2171</v>
      </c>
      <c r="D155" s="29" t="s">
        <v>1877</v>
      </c>
      <c r="E155" s="8" t="s">
        <v>195</v>
      </c>
      <c r="F155" s="8" t="s">
        <v>24</v>
      </c>
      <c r="G155" s="25"/>
      <c r="H155" s="27"/>
      <c r="I155" s="8"/>
      <c r="J155" s="8"/>
      <c r="K155" s="8"/>
      <c r="L155" s="8"/>
      <c r="M155" s="8"/>
      <c r="N155" s="8"/>
      <c r="O155" s="8"/>
      <c r="P155" s="8"/>
    </row>
    <row r="156" spans="1:16" x14ac:dyDescent="0.25">
      <c r="A156" s="8" t="s">
        <v>1914</v>
      </c>
      <c r="B156" s="8" t="s">
        <v>2172</v>
      </c>
      <c r="C156" s="8" t="s">
        <v>2173</v>
      </c>
      <c r="D156" s="29" t="s">
        <v>1917</v>
      </c>
      <c r="E156" s="8" t="s">
        <v>195</v>
      </c>
      <c r="F156" s="8" t="s">
        <v>24</v>
      </c>
      <c r="G156" s="25"/>
      <c r="H156" s="27" t="str">
        <f>HYPERLINK("https://doc.morningstar.com/Document/ce8d71ea61545f4dbb6812fb31809d35.msdoc?clientid=fnz&amp;key=9c0e4d166b60ffd3","TMD")</f>
        <v>TMD</v>
      </c>
      <c r="I156" s="8" t="s">
        <v>25</v>
      </c>
      <c r="J156" s="8" t="s">
        <v>26</v>
      </c>
      <c r="K156" s="8" t="s">
        <v>27</v>
      </c>
      <c r="L156" s="8" t="s">
        <v>27</v>
      </c>
      <c r="M156" s="8" t="s">
        <v>26</v>
      </c>
      <c r="N156" s="8" t="s">
        <v>216</v>
      </c>
      <c r="O156" s="8" t="s">
        <v>27</v>
      </c>
      <c r="P156" s="8" t="s">
        <v>27</v>
      </c>
    </row>
    <row r="157" spans="1:16" ht="15" customHeight="1" x14ac:dyDescent="0.25">
      <c r="A157" s="8" t="s">
        <v>1914</v>
      </c>
      <c r="B157" s="8" t="s">
        <v>2174</v>
      </c>
      <c r="C157" s="8" t="s">
        <v>2175</v>
      </c>
      <c r="D157" s="29" t="s">
        <v>1917</v>
      </c>
      <c r="E157" s="8" t="s">
        <v>195</v>
      </c>
      <c r="F157" s="8" t="s">
        <v>24</v>
      </c>
      <c r="G157" s="25"/>
      <c r="H157" s="27" t="str">
        <f>HYPERLINK("https://doc.morningstar.com/Document/89c6cb661ad185146c134b136cc2b8db.msdoc?clientid=fnz&amp;key=9c0e4d166b60ffd3","TMD")</f>
        <v>TMD</v>
      </c>
      <c r="I157" s="8" t="s">
        <v>25</v>
      </c>
      <c r="J157" s="8" t="s">
        <v>26</v>
      </c>
      <c r="K157" s="8" t="s">
        <v>27</v>
      </c>
      <c r="L157" s="8" t="s">
        <v>27</v>
      </c>
      <c r="M157" s="8" t="s">
        <v>26</v>
      </c>
      <c r="N157" s="8" t="s">
        <v>216</v>
      </c>
      <c r="O157" s="8" t="s">
        <v>27</v>
      </c>
      <c r="P157" s="8" t="s">
        <v>27</v>
      </c>
    </row>
    <row r="158" spans="1:16" x14ac:dyDescent="0.25">
      <c r="A158" s="8" t="s">
        <v>1988</v>
      </c>
      <c r="B158" s="8" t="s">
        <v>2176</v>
      </c>
      <c r="C158" s="8" t="s">
        <v>2177</v>
      </c>
      <c r="D158" s="29" t="s">
        <v>1991</v>
      </c>
      <c r="E158" s="8" t="s">
        <v>195</v>
      </c>
      <c r="F158" s="8" t="s">
        <v>24</v>
      </c>
      <c r="G158" s="25"/>
      <c r="H158" s="27"/>
      <c r="I158" s="8"/>
      <c r="J158" s="8"/>
      <c r="K158" s="8"/>
      <c r="L158" s="8"/>
      <c r="M158" s="8"/>
      <c r="N158" s="8"/>
      <c r="O158" s="8"/>
      <c r="P158" s="8"/>
    </row>
    <row r="159" spans="1:16" ht="30" x14ac:dyDescent="0.25">
      <c r="A159" s="8" t="s">
        <v>1878</v>
      </c>
      <c r="B159" s="8" t="s">
        <v>2178</v>
      </c>
      <c r="C159" s="8" t="s">
        <v>2179</v>
      </c>
      <c r="D159" s="29" t="s">
        <v>1881</v>
      </c>
      <c r="E159" s="8" t="s">
        <v>24</v>
      </c>
      <c r="F159" s="8" t="s">
        <v>24</v>
      </c>
      <c r="G159" s="25"/>
      <c r="H159" s="27"/>
      <c r="I159" s="8"/>
      <c r="J159" s="8"/>
      <c r="K159" s="8"/>
      <c r="L159" s="8"/>
      <c r="M159" s="8"/>
      <c r="N159" s="8"/>
      <c r="O159" s="8"/>
      <c r="P159" s="8"/>
    </row>
    <row r="160" spans="1:16" x14ac:dyDescent="0.25">
      <c r="A160" s="8" t="s">
        <v>1874</v>
      </c>
      <c r="B160" s="8" t="s">
        <v>2180</v>
      </c>
      <c r="C160" s="8" t="s">
        <v>2181</v>
      </c>
      <c r="D160" s="29" t="s">
        <v>1877</v>
      </c>
      <c r="E160" s="8" t="s">
        <v>195</v>
      </c>
      <c r="F160" s="8" t="s">
        <v>24</v>
      </c>
      <c r="G160" s="25"/>
      <c r="H160" s="27"/>
      <c r="I160" s="8"/>
      <c r="J160" s="8"/>
      <c r="K160" s="8"/>
      <c r="L160" s="8"/>
      <c r="M160" s="8"/>
      <c r="N160" s="8"/>
      <c r="O160" s="8"/>
      <c r="P160" s="8"/>
    </row>
    <row r="161" spans="1:16" x14ac:dyDescent="0.25">
      <c r="A161" s="8" t="s">
        <v>1874</v>
      </c>
      <c r="B161" s="8" t="s">
        <v>2182</v>
      </c>
      <c r="C161" s="8" t="s">
        <v>2183</v>
      </c>
      <c r="D161" s="29" t="s">
        <v>1877</v>
      </c>
      <c r="E161" s="8" t="s">
        <v>195</v>
      </c>
      <c r="F161" s="8" t="s">
        <v>24</v>
      </c>
      <c r="G161" s="25"/>
      <c r="H161" s="27"/>
      <c r="I161" s="8"/>
      <c r="J161" s="8"/>
      <c r="K161" s="8"/>
      <c r="L161" s="8"/>
      <c r="M161" s="8"/>
      <c r="N161" s="8"/>
      <c r="O161" s="8"/>
      <c r="P161" s="8"/>
    </row>
    <row r="162" spans="1:16" x14ac:dyDescent="0.25">
      <c r="A162" s="8" t="s">
        <v>1874</v>
      </c>
      <c r="B162" s="8" t="s">
        <v>2184</v>
      </c>
      <c r="C162" s="8" t="s">
        <v>2185</v>
      </c>
      <c r="D162" s="29" t="s">
        <v>1877</v>
      </c>
      <c r="E162" s="8" t="s">
        <v>195</v>
      </c>
      <c r="F162" s="8" t="s">
        <v>24</v>
      </c>
      <c r="G162" s="25"/>
      <c r="H162" s="27"/>
      <c r="I162" s="8"/>
      <c r="J162" s="8"/>
      <c r="K162" s="8"/>
      <c r="L162" s="8"/>
      <c r="M162" s="8"/>
      <c r="N162" s="8"/>
      <c r="O162" s="8"/>
      <c r="P162" s="8"/>
    </row>
    <row r="163" spans="1:16" x14ac:dyDescent="0.25">
      <c r="A163" s="8" t="s">
        <v>1874</v>
      </c>
      <c r="B163" s="8" t="s">
        <v>2186</v>
      </c>
      <c r="C163" s="8" t="s">
        <v>2187</v>
      </c>
      <c r="D163" s="29" t="s">
        <v>1877</v>
      </c>
      <c r="E163" s="8" t="s">
        <v>195</v>
      </c>
      <c r="F163" s="8" t="s">
        <v>24</v>
      </c>
      <c r="G163" s="25"/>
      <c r="H163" s="27"/>
      <c r="I163" s="8"/>
      <c r="J163" s="8"/>
      <c r="K163" s="8"/>
      <c r="L163" s="8"/>
      <c r="M163" s="8"/>
      <c r="N163" s="8"/>
      <c r="O163" s="8"/>
      <c r="P163" s="8"/>
    </row>
    <row r="164" spans="1:16" x14ac:dyDescent="0.25">
      <c r="A164" s="8" t="s">
        <v>1874</v>
      </c>
      <c r="B164" s="8" t="s">
        <v>2188</v>
      </c>
      <c r="C164" s="8" t="s">
        <v>2189</v>
      </c>
      <c r="D164" s="29" t="s">
        <v>1894</v>
      </c>
      <c r="E164" s="8" t="s">
        <v>195</v>
      </c>
      <c r="F164" s="8" t="s">
        <v>24</v>
      </c>
      <c r="G164" s="25"/>
      <c r="H164" s="27"/>
      <c r="I164" s="8"/>
      <c r="J164" s="8"/>
      <c r="K164" s="8"/>
      <c r="L164" s="8"/>
      <c r="M164" s="8"/>
      <c r="N164" s="8"/>
      <c r="O164" s="8"/>
      <c r="P164" s="8"/>
    </row>
    <row r="165" spans="1:16" x14ac:dyDescent="0.25">
      <c r="A165" s="8" t="s">
        <v>1874</v>
      </c>
      <c r="B165" s="8" t="s">
        <v>2190</v>
      </c>
      <c r="C165" s="8" t="s">
        <v>2191</v>
      </c>
      <c r="D165" s="29" t="s">
        <v>1877</v>
      </c>
      <c r="E165" s="8" t="s">
        <v>195</v>
      </c>
      <c r="F165" s="8" t="s">
        <v>24</v>
      </c>
      <c r="G165" s="25"/>
      <c r="H165" s="27"/>
      <c r="I165" s="8"/>
      <c r="J165" s="8"/>
      <c r="K165" s="8"/>
      <c r="L165" s="8"/>
      <c r="M165" s="8"/>
      <c r="N165" s="8"/>
      <c r="O165" s="8"/>
      <c r="P165" s="8"/>
    </row>
    <row r="166" spans="1:16" x14ac:dyDescent="0.25">
      <c r="A166" s="8" t="s">
        <v>1874</v>
      </c>
      <c r="B166" s="8" t="s">
        <v>2192</v>
      </c>
      <c r="C166" s="8" t="s">
        <v>2193</v>
      </c>
      <c r="D166" s="29" t="s">
        <v>1877</v>
      </c>
      <c r="E166" s="8" t="s">
        <v>195</v>
      </c>
      <c r="F166" s="8" t="s">
        <v>24</v>
      </c>
      <c r="G166" s="25"/>
      <c r="H166" s="27"/>
      <c r="I166" s="8"/>
      <c r="J166" s="8"/>
      <c r="K166" s="8"/>
      <c r="L166" s="8"/>
      <c r="M166" s="8"/>
      <c r="N166" s="8"/>
      <c r="O166" s="8"/>
      <c r="P166" s="8"/>
    </row>
    <row r="167" spans="1:16" x14ac:dyDescent="0.25">
      <c r="A167" s="8" t="s">
        <v>1874</v>
      </c>
      <c r="B167" s="8" t="s">
        <v>2194</v>
      </c>
      <c r="C167" s="8" t="s">
        <v>2195</v>
      </c>
      <c r="D167" s="29" t="s">
        <v>1877</v>
      </c>
      <c r="E167" s="8" t="s">
        <v>195</v>
      </c>
      <c r="F167" s="8" t="s">
        <v>24</v>
      </c>
      <c r="G167" s="25"/>
      <c r="H167" s="27"/>
      <c r="I167" s="8"/>
      <c r="J167" s="8"/>
      <c r="K167" s="8"/>
      <c r="L167" s="8"/>
      <c r="M167" s="8"/>
      <c r="N167" s="8"/>
      <c r="O167" s="8"/>
      <c r="P167" s="8"/>
    </row>
    <row r="168" spans="1:16" x14ac:dyDescent="0.25">
      <c r="A168" s="8" t="s">
        <v>1988</v>
      </c>
      <c r="B168" s="8" t="s">
        <v>2196</v>
      </c>
      <c r="C168" s="8" t="s">
        <v>2197</v>
      </c>
      <c r="D168" s="29" t="s">
        <v>1991</v>
      </c>
      <c r="E168" s="8" t="s">
        <v>195</v>
      </c>
      <c r="F168" s="8" t="s">
        <v>24</v>
      </c>
      <c r="G168" s="25"/>
      <c r="H168" s="27"/>
      <c r="I168" s="8"/>
      <c r="J168" s="8"/>
      <c r="K168" s="8"/>
      <c r="L168" s="8"/>
      <c r="M168" s="8"/>
      <c r="N168" s="8"/>
      <c r="O168" s="8"/>
      <c r="P168" s="8"/>
    </row>
    <row r="169" spans="1:16" x14ac:dyDescent="0.25">
      <c r="A169" s="8" t="s">
        <v>1874</v>
      </c>
      <c r="B169" s="8" t="s">
        <v>2198</v>
      </c>
      <c r="C169" s="8" t="s">
        <v>2199</v>
      </c>
      <c r="D169" s="29" t="s">
        <v>1877</v>
      </c>
      <c r="E169" s="8" t="s">
        <v>24</v>
      </c>
      <c r="F169" s="8" t="s">
        <v>24</v>
      </c>
      <c r="G169" s="25"/>
      <c r="H169" s="27"/>
      <c r="I169" s="8"/>
      <c r="J169" s="8"/>
      <c r="K169" s="8"/>
      <c r="L169" s="8"/>
      <c r="M169" s="8"/>
      <c r="N169" s="8"/>
      <c r="O169" s="8"/>
      <c r="P169" s="8"/>
    </row>
    <row r="170" spans="1:16" x14ac:dyDescent="0.25">
      <c r="A170" s="8" t="s">
        <v>1874</v>
      </c>
      <c r="B170" s="8" t="s">
        <v>2200</v>
      </c>
      <c r="C170" s="8" t="s">
        <v>2201</v>
      </c>
      <c r="D170" s="29" t="s">
        <v>1877</v>
      </c>
      <c r="E170" s="8" t="s">
        <v>24</v>
      </c>
      <c r="F170" s="8" t="s">
        <v>24</v>
      </c>
      <c r="G170" s="25"/>
      <c r="H170" s="27"/>
      <c r="I170" s="8"/>
      <c r="J170" s="8"/>
      <c r="K170" s="8"/>
      <c r="L170" s="8"/>
      <c r="M170" s="8"/>
      <c r="N170" s="8"/>
      <c r="O170" s="8"/>
      <c r="P170" s="8"/>
    </row>
    <row r="171" spans="1:16" x14ac:dyDescent="0.25">
      <c r="A171" s="8" t="s">
        <v>1874</v>
      </c>
      <c r="B171" s="8" t="s">
        <v>2202</v>
      </c>
      <c r="C171" s="8" t="s">
        <v>2203</v>
      </c>
      <c r="D171" s="29" t="s">
        <v>1877</v>
      </c>
      <c r="E171" s="8" t="s">
        <v>24</v>
      </c>
      <c r="F171" s="8" t="s">
        <v>24</v>
      </c>
      <c r="G171" s="25"/>
      <c r="H171" s="27"/>
      <c r="I171" s="8"/>
      <c r="J171" s="8"/>
      <c r="K171" s="8"/>
      <c r="L171" s="8"/>
      <c r="M171" s="8"/>
      <c r="N171" s="8"/>
      <c r="O171" s="8"/>
      <c r="P171" s="8"/>
    </row>
    <row r="172" spans="1:16" x14ac:dyDescent="0.25">
      <c r="A172" s="8" t="s">
        <v>1914</v>
      </c>
      <c r="B172" s="8" t="s">
        <v>2204</v>
      </c>
      <c r="C172" s="8" t="s">
        <v>2205</v>
      </c>
      <c r="D172" s="29" t="s">
        <v>1917</v>
      </c>
      <c r="E172" s="8" t="s">
        <v>24</v>
      </c>
      <c r="F172" s="8" t="s">
        <v>24</v>
      </c>
      <c r="G172" s="25"/>
      <c r="H172" s="27" t="str">
        <f>HYPERLINK("https://doc.morningstar.com/Document/dd68ce09ff290506aa0547942e99ebea.msdoc?clientid=fnz&amp;key=9c0e4d166b60ffd3","TMD")</f>
        <v>TMD</v>
      </c>
      <c r="I172" s="8" t="s">
        <v>25</v>
      </c>
      <c r="J172" s="8" t="s">
        <v>25</v>
      </c>
      <c r="K172" s="8" t="s">
        <v>25</v>
      </c>
      <c r="L172" s="8" t="s">
        <v>25</v>
      </c>
      <c r="M172" s="8" t="s">
        <v>26</v>
      </c>
      <c r="N172" s="8" t="s">
        <v>26</v>
      </c>
      <c r="O172" s="8" t="s">
        <v>27</v>
      </c>
      <c r="P172" s="8" t="s">
        <v>27</v>
      </c>
    </row>
    <row r="173" spans="1:16" x14ac:dyDescent="0.25">
      <c r="A173" s="8" t="s">
        <v>1874</v>
      </c>
      <c r="B173" s="8" t="s">
        <v>2206</v>
      </c>
      <c r="C173" s="8" t="s">
        <v>2207</v>
      </c>
      <c r="D173" s="29" t="s">
        <v>1877</v>
      </c>
      <c r="E173" s="8" t="s">
        <v>195</v>
      </c>
      <c r="F173" s="8" t="s">
        <v>24</v>
      </c>
      <c r="G173" s="25"/>
      <c r="H173" s="27"/>
      <c r="I173" s="8"/>
      <c r="J173" s="8"/>
      <c r="K173" s="8"/>
      <c r="L173" s="8"/>
      <c r="M173" s="8"/>
      <c r="N173" s="8"/>
      <c r="O173" s="8"/>
      <c r="P173" s="8"/>
    </row>
    <row r="174" spans="1:16" x14ac:dyDescent="0.25">
      <c r="A174" s="8" t="s">
        <v>1874</v>
      </c>
      <c r="B174" s="8" t="s">
        <v>2208</v>
      </c>
      <c r="C174" s="8" t="s">
        <v>2209</v>
      </c>
      <c r="D174" s="29" t="s">
        <v>1877</v>
      </c>
      <c r="E174" s="8" t="s">
        <v>195</v>
      </c>
      <c r="F174" s="8" t="s">
        <v>24</v>
      </c>
      <c r="G174" s="25"/>
      <c r="H174" s="27"/>
      <c r="I174" s="8"/>
      <c r="J174" s="8"/>
      <c r="K174" s="8"/>
      <c r="L174" s="8"/>
      <c r="M174" s="8"/>
      <c r="N174" s="8"/>
      <c r="O174" s="8"/>
      <c r="P174" s="8"/>
    </row>
    <row r="175" spans="1:16" x14ac:dyDescent="0.25">
      <c r="A175" s="8" t="s">
        <v>1874</v>
      </c>
      <c r="B175" s="8" t="s">
        <v>2210</v>
      </c>
      <c r="C175" s="8" t="s">
        <v>2211</v>
      </c>
      <c r="D175" s="29" t="s">
        <v>1877</v>
      </c>
      <c r="E175" s="8" t="s">
        <v>195</v>
      </c>
      <c r="F175" s="8" t="s">
        <v>24</v>
      </c>
      <c r="G175" s="25"/>
      <c r="H175" s="27"/>
      <c r="I175" s="8"/>
      <c r="J175" s="8"/>
      <c r="K175" s="8"/>
      <c r="L175" s="8"/>
      <c r="M175" s="8"/>
      <c r="N175" s="8"/>
      <c r="O175" s="8"/>
      <c r="P175" s="8"/>
    </row>
    <row r="176" spans="1:16" x14ac:dyDescent="0.25">
      <c r="A176" s="8" t="s">
        <v>1874</v>
      </c>
      <c r="B176" s="8" t="s">
        <v>2212</v>
      </c>
      <c r="C176" s="8" t="s">
        <v>2213</v>
      </c>
      <c r="D176" s="29" t="s">
        <v>1877</v>
      </c>
      <c r="E176" s="8" t="s">
        <v>24</v>
      </c>
      <c r="F176" s="8" t="s">
        <v>24</v>
      </c>
      <c r="G176" s="25"/>
      <c r="H176" s="27"/>
      <c r="I176" s="8"/>
      <c r="J176" s="8"/>
      <c r="K176" s="8"/>
      <c r="L176" s="8"/>
      <c r="M176" s="8"/>
      <c r="N176" s="8"/>
      <c r="O176" s="8"/>
      <c r="P176" s="8"/>
    </row>
    <row r="177" spans="1:16" x14ac:dyDescent="0.25">
      <c r="A177" s="8" t="s">
        <v>1874</v>
      </c>
      <c r="B177" s="8" t="s">
        <v>2214</v>
      </c>
      <c r="C177" s="8" t="s">
        <v>2215</v>
      </c>
      <c r="D177" s="29" t="s">
        <v>1877</v>
      </c>
      <c r="E177" s="8" t="s">
        <v>195</v>
      </c>
      <c r="F177" s="8" t="s">
        <v>24</v>
      </c>
      <c r="G177" s="25"/>
      <c r="H177" s="27"/>
      <c r="I177" s="8"/>
      <c r="J177" s="8"/>
      <c r="K177" s="8"/>
      <c r="L177" s="8"/>
      <c r="M177" s="8"/>
      <c r="N177" s="8"/>
      <c r="O177" s="8"/>
      <c r="P177" s="8"/>
    </row>
    <row r="178" spans="1:16" x14ac:dyDescent="0.25">
      <c r="A178" s="8" t="s">
        <v>1874</v>
      </c>
      <c r="B178" s="8" t="s">
        <v>2216</v>
      </c>
      <c r="C178" s="8" t="s">
        <v>2217</v>
      </c>
      <c r="D178" s="29" t="s">
        <v>1877</v>
      </c>
      <c r="E178" s="8" t="s">
        <v>195</v>
      </c>
      <c r="F178" s="8" t="s">
        <v>24</v>
      </c>
      <c r="G178" s="25"/>
      <c r="H178" s="27"/>
      <c r="I178" s="8"/>
      <c r="J178" s="8"/>
      <c r="K178" s="8"/>
      <c r="L178" s="8"/>
      <c r="M178" s="8"/>
      <c r="N178" s="8"/>
      <c r="O178" s="8"/>
      <c r="P178" s="8"/>
    </row>
    <row r="179" spans="1:16" x14ac:dyDescent="0.25">
      <c r="A179" s="8" t="s">
        <v>1874</v>
      </c>
      <c r="B179" s="8" t="s">
        <v>2218</v>
      </c>
      <c r="C179" s="8" t="s">
        <v>2219</v>
      </c>
      <c r="D179" s="29" t="s">
        <v>1877</v>
      </c>
      <c r="E179" s="8" t="s">
        <v>195</v>
      </c>
      <c r="F179" s="8" t="s">
        <v>24</v>
      </c>
      <c r="G179" s="25"/>
      <c r="H179" s="27"/>
      <c r="I179" s="8"/>
      <c r="J179" s="8"/>
      <c r="K179" s="8"/>
      <c r="L179" s="8"/>
      <c r="M179" s="8"/>
      <c r="N179" s="8"/>
      <c r="O179" s="8"/>
      <c r="P179" s="8"/>
    </row>
    <row r="180" spans="1:16" x14ac:dyDescent="0.25">
      <c r="A180" s="8" t="s">
        <v>1874</v>
      </c>
      <c r="B180" s="8" t="s">
        <v>2220</v>
      </c>
      <c r="C180" s="8" t="s">
        <v>2221</v>
      </c>
      <c r="D180" s="29" t="s">
        <v>1877</v>
      </c>
      <c r="E180" s="8" t="s">
        <v>24</v>
      </c>
      <c r="F180" s="8" t="s">
        <v>24</v>
      </c>
      <c r="G180" s="25"/>
      <c r="H180" s="27"/>
      <c r="I180" s="8"/>
      <c r="J180" s="8"/>
      <c r="K180" s="8"/>
      <c r="L180" s="8"/>
      <c r="M180" s="8"/>
      <c r="N180" s="8"/>
      <c r="O180" s="8"/>
      <c r="P180" s="8"/>
    </row>
    <row r="181" spans="1:16" x14ac:dyDescent="0.25">
      <c r="A181" s="8" t="s">
        <v>1874</v>
      </c>
      <c r="B181" s="8" t="s">
        <v>2222</v>
      </c>
      <c r="C181" s="8" t="s">
        <v>2223</v>
      </c>
      <c r="D181" s="29" t="s">
        <v>1877</v>
      </c>
      <c r="E181" s="8" t="s">
        <v>195</v>
      </c>
      <c r="F181" s="8" t="s">
        <v>24</v>
      </c>
      <c r="G181" s="25"/>
      <c r="H181" s="27"/>
      <c r="I181" s="8"/>
      <c r="J181" s="8"/>
      <c r="K181" s="8"/>
      <c r="L181" s="8"/>
      <c r="M181" s="8"/>
      <c r="N181" s="8"/>
      <c r="O181" s="8"/>
      <c r="P181" s="8"/>
    </row>
    <row r="182" spans="1:16" x14ac:dyDescent="0.25">
      <c r="A182" s="8" t="s">
        <v>1874</v>
      </c>
      <c r="B182" s="8" t="s">
        <v>2224</v>
      </c>
      <c r="C182" s="8" t="s">
        <v>2225</v>
      </c>
      <c r="D182" s="29" t="s">
        <v>1877</v>
      </c>
      <c r="E182" s="8" t="s">
        <v>24</v>
      </c>
      <c r="F182" s="8" t="s">
        <v>24</v>
      </c>
      <c r="G182" s="25"/>
      <c r="H182" s="27"/>
      <c r="I182" s="8"/>
      <c r="J182" s="8"/>
      <c r="K182" s="8"/>
      <c r="L182" s="8"/>
      <c r="M182" s="8"/>
      <c r="N182" s="8"/>
      <c r="O182" s="8"/>
      <c r="P182" s="8"/>
    </row>
    <row r="183" spans="1:16" x14ac:dyDescent="0.25">
      <c r="A183" s="8" t="s">
        <v>1874</v>
      </c>
      <c r="B183" s="8" t="s">
        <v>2226</v>
      </c>
      <c r="C183" s="8" t="s">
        <v>2227</v>
      </c>
      <c r="D183" s="29" t="s">
        <v>2228</v>
      </c>
      <c r="E183" s="8" t="s">
        <v>24</v>
      </c>
      <c r="F183" s="8" t="s">
        <v>24</v>
      </c>
      <c r="G183" s="25"/>
      <c r="H183" s="27"/>
      <c r="I183" s="8"/>
      <c r="J183" s="8"/>
      <c r="K183" s="8"/>
      <c r="L183" s="8"/>
      <c r="M183" s="8"/>
      <c r="N183" s="8"/>
      <c r="O183" s="8"/>
      <c r="P183" s="8"/>
    </row>
    <row r="184" spans="1:16" x14ac:dyDescent="0.25">
      <c r="A184" s="8" t="s">
        <v>1874</v>
      </c>
      <c r="B184" s="8" t="s">
        <v>2229</v>
      </c>
      <c r="C184" s="8" t="s">
        <v>2230</v>
      </c>
      <c r="D184" s="29" t="s">
        <v>2228</v>
      </c>
      <c r="E184" s="8" t="s">
        <v>24</v>
      </c>
      <c r="F184" s="8" t="s">
        <v>24</v>
      </c>
      <c r="G184" s="25">
        <v>20</v>
      </c>
      <c r="H184" s="27"/>
      <c r="I184" s="8"/>
      <c r="J184" s="8"/>
      <c r="K184" s="8"/>
      <c r="L184" s="8"/>
      <c r="M184" s="8"/>
      <c r="N184" s="8"/>
      <c r="O184" s="8"/>
      <c r="P184" s="8"/>
    </row>
    <row r="185" spans="1:16" x14ac:dyDescent="0.25">
      <c r="A185" s="8" t="s">
        <v>1874</v>
      </c>
      <c r="B185" s="8" t="s">
        <v>2231</v>
      </c>
      <c r="C185" s="8" t="s">
        <v>2232</v>
      </c>
      <c r="D185" s="29" t="s">
        <v>1877</v>
      </c>
      <c r="E185" s="8" t="s">
        <v>24</v>
      </c>
      <c r="F185" s="8" t="s">
        <v>24</v>
      </c>
      <c r="G185" s="25"/>
      <c r="H185" s="27"/>
      <c r="I185" s="8"/>
      <c r="J185" s="8"/>
      <c r="K185" s="8"/>
      <c r="L185" s="8"/>
      <c r="M185" s="8"/>
      <c r="N185" s="8"/>
      <c r="O185" s="8"/>
      <c r="P185" s="8"/>
    </row>
    <row r="186" spans="1:16" x14ac:dyDescent="0.25">
      <c r="A186" s="8" t="s">
        <v>1874</v>
      </c>
      <c r="B186" s="8" t="s">
        <v>2233</v>
      </c>
      <c r="C186" s="8" t="s">
        <v>2234</v>
      </c>
      <c r="D186" s="29" t="s">
        <v>1877</v>
      </c>
      <c r="E186" s="8" t="s">
        <v>195</v>
      </c>
      <c r="F186" s="8" t="s">
        <v>24</v>
      </c>
      <c r="G186" s="25"/>
      <c r="H186" s="27"/>
      <c r="I186" s="8"/>
      <c r="J186" s="8"/>
      <c r="K186" s="8"/>
      <c r="L186" s="8"/>
      <c r="M186" s="8"/>
      <c r="N186" s="8"/>
      <c r="O186" s="8"/>
      <c r="P186" s="8"/>
    </row>
    <row r="187" spans="1:16" x14ac:dyDescent="0.25">
      <c r="A187" s="8" t="s">
        <v>1914</v>
      </c>
      <c r="B187" s="8" t="s">
        <v>2235</v>
      </c>
      <c r="C187" s="8" t="s">
        <v>2236</v>
      </c>
      <c r="D187" s="29" t="s">
        <v>1917</v>
      </c>
      <c r="E187" s="8" t="s">
        <v>24</v>
      </c>
      <c r="F187" s="8" t="s">
        <v>24</v>
      </c>
      <c r="G187" s="25">
        <v>100</v>
      </c>
      <c r="H187" s="27" t="str">
        <f>HYPERLINK("https://doc.morningstar.com/Document/f6bac28876479b1ea338f650e207d673.msdoc?clientid=fnz&amp;key=9c0e4d166b60ffd3","TMD")</f>
        <v>TMD</v>
      </c>
      <c r="I187" s="8" t="s">
        <v>25</v>
      </c>
      <c r="J187" s="8" t="s">
        <v>216</v>
      </c>
      <c r="K187" s="8" t="s">
        <v>27</v>
      </c>
      <c r="L187" s="8" t="s">
        <v>27</v>
      </c>
      <c r="M187" s="8" t="s">
        <v>26</v>
      </c>
      <c r="N187" s="8" t="s">
        <v>27</v>
      </c>
      <c r="O187" s="8" t="s">
        <v>216</v>
      </c>
      <c r="P187" s="8" t="s">
        <v>26</v>
      </c>
    </row>
    <row r="188" spans="1:16" x14ac:dyDescent="0.25">
      <c r="A188" s="8" t="s">
        <v>1914</v>
      </c>
      <c r="B188" s="8" t="s">
        <v>2237</v>
      </c>
      <c r="C188" s="8" t="s">
        <v>2238</v>
      </c>
      <c r="D188" s="29" t="s">
        <v>1917</v>
      </c>
      <c r="E188" s="8" t="s">
        <v>24</v>
      </c>
      <c r="F188" s="8" t="s">
        <v>24</v>
      </c>
      <c r="G188" s="25">
        <v>30</v>
      </c>
      <c r="H188" s="27" t="str">
        <f>HYPERLINK("https://doc.morningstar.com/Document/8d8fabf2b0c2f3ed3b335648ea8c91c9.msdoc?clientid=fnz&amp;key=9c0e4d166b60ffd3","TMD")</f>
        <v>TMD</v>
      </c>
      <c r="I188" s="8" t="s">
        <v>25</v>
      </c>
      <c r="J188" s="8" t="s">
        <v>216</v>
      </c>
      <c r="K188" s="8" t="s">
        <v>27</v>
      </c>
      <c r="L188" s="8" t="s">
        <v>27</v>
      </c>
      <c r="M188" s="8" t="s">
        <v>26</v>
      </c>
      <c r="N188" s="8" t="s">
        <v>26</v>
      </c>
      <c r="O188" s="8" t="s">
        <v>26</v>
      </c>
      <c r="P188" s="8" t="s">
        <v>27</v>
      </c>
    </row>
    <row r="189" spans="1:16" x14ac:dyDescent="0.25">
      <c r="A189" s="8" t="s">
        <v>1914</v>
      </c>
      <c r="B189" s="8" t="s">
        <v>2239</v>
      </c>
      <c r="C189" s="8" t="s">
        <v>2240</v>
      </c>
      <c r="D189" s="29" t="s">
        <v>1917</v>
      </c>
      <c r="E189" s="8" t="s">
        <v>24</v>
      </c>
      <c r="F189" s="8" t="s">
        <v>24</v>
      </c>
      <c r="G189" s="25"/>
      <c r="H189" s="27" t="str">
        <f>HYPERLINK("https://doc.morningstar.com/Document/5d1f502b565ffc162375a1a83cefd8be.msdoc?clientid=fnz&amp;key=9c0e4d166b60ffd3","TMD")</f>
        <v>TMD</v>
      </c>
      <c r="I189" s="8" t="s">
        <v>25</v>
      </c>
      <c r="J189" s="8" t="s">
        <v>25</v>
      </c>
      <c r="K189" s="8" t="s">
        <v>25</v>
      </c>
      <c r="L189" s="8" t="s">
        <v>25</v>
      </c>
      <c r="M189" s="8" t="s">
        <v>26</v>
      </c>
      <c r="N189" s="8" t="s">
        <v>27</v>
      </c>
      <c r="O189" s="8" t="s">
        <v>26</v>
      </c>
      <c r="P189" s="8" t="s">
        <v>26</v>
      </c>
    </row>
    <row r="190" spans="1:16" x14ac:dyDescent="0.25">
      <c r="A190" s="8" t="s">
        <v>1914</v>
      </c>
      <c r="B190" s="8" t="s">
        <v>2241</v>
      </c>
      <c r="C190" s="8" t="s">
        <v>2242</v>
      </c>
      <c r="D190" s="29" t="s">
        <v>1917</v>
      </c>
      <c r="E190" s="8" t="s">
        <v>24</v>
      </c>
      <c r="F190" s="8" t="s">
        <v>24</v>
      </c>
      <c r="G190" s="25">
        <v>30</v>
      </c>
      <c r="H190" s="27" t="str">
        <f>HYPERLINK("https://doc.morningstar.com/Document/46213006f5c09cca7c0676b8b06419e3.msdoc?clientid=fnz&amp;key=9c0e4d166b60ffd3","TMD")</f>
        <v>TMD</v>
      </c>
      <c r="I190" s="8" t="s">
        <v>25</v>
      </c>
      <c r="J190" s="8" t="s">
        <v>216</v>
      </c>
      <c r="K190" s="8" t="s">
        <v>27</v>
      </c>
      <c r="L190" s="8" t="s">
        <v>27</v>
      </c>
      <c r="M190" s="8" t="s">
        <v>26</v>
      </c>
      <c r="N190" s="8" t="s">
        <v>26</v>
      </c>
      <c r="O190" s="8" t="s">
        <v>27</v>
      </c>
      <c r="P190" s="8" t="s">
        <v>216</v>
      </c>
    </row>
    <row r="191" spans="1:16" x14ac:dyDescent="0.25">
      <c r="A191" s="8" t="s">
        <v>1914</v>
      </c>
      <c r="B191" s="8" t="s">
        <v>2243</v>
      </c>
      <c r="C191" s="8" t="s">
        <v>2244</v>
      </c>
      <c r="D191" s="29" t="s">
        <v>1917</v>
      </c>
      <c r="E191" s="8" t="s">
        <v>195</v>
      </c>
      <c r="F191" s="8" t="s">
        <v>24</v>
      </c>
      <c r="G191" s="25"/>
      <c r="H191" s="27" t="str">
        <f>HYPERLINK("https://doc.morningstar.com/Document/af0996f0540907bcb111632f2dc699a7.msdoc?clientid=fnz&amp;key=9c0e4d166b60ffd3","TMD")</f>
        <v>TMD</v>
      </c>
      <c r="I191" s="8" t="s">
        <v>25</v>
      </c>
      <c r="J191" s="8" t="s">
        <v>25</v>
      </c>
      <c r="K191" s="8" t="s">
        <v>25</v>
      </c>
      <c r="L191" s="8" t="s">
        <v>25</v>
      </c>
      <c r="M191" s="8" t="s">
        <v>26</v>
      </c>
      <c r="N191" s="8" t="s">
        <v>26</v>
      </c>
      <c r="O191" s="8" t="s">
        <v>26</v>
      </c>
      <c r="P191" s="8" t="s">
        <v>27</v>
      </c>
    </row>
    <row r="192" spans="1:16" x14ac:dyDescent="0.25">
      <c r="A192" s="8" t="s">
        <v>1914</v>
      </c>
      <c r="B192" s="8" t="s">
        <v>2245</v>
      </c>
      <c r="C192" s="8" t="s">
        <v>2246</v>
      </c>
      <c r="D192" s="29" t="s">
        <v>1917</v>
      </c>
      <c r="E192" s="8" t="s">
        <v>24</v>
      </c>
      <c r="F192" s="8" t="s">
        <v>24</v>
      </c>
      <c r="G192" s="25"/>
      <c r="H192" s="27" t="str">
        <f>HYPERLINK("https://doc.morningstar.com/Document/163dc749f2fe8309a69aa91b58d54223.msdoc?clientid=fnz&amp;key=9c0e4d166b60ffd3","TMD")</f>
        <v>TMD</v>
      </c>
      <c r="I192" s="8" t="s">
        <v>25</v>
      </c>
      <c r="J192" s="8" t="s">
        <v>25</v>
      </c>
      <c r="K192" s="8" t="s">
        <v>25</v>
      </c>
      <c r="L192" s="8" t="s">
        <v>25</v>
      </c>
      <c r="M192" s="8" t="s">
        <v>27</v>
      </c>
      <c r="N192" s="8" t="s">
        <v>26</v>
      </c>
      <c r="O192" s="8" t="s">
        <v>26</v>
      </c>
      <c r="P192" s="8" t="s">
        <v>26</v>
      </c>
    </row>
    <row r="193" spans="1:16" x14ac:dyDescent="0.25">
      <c r="A193" s="8" t="s">
        <v>1914</v>
      </c>
      <c r="B193" s="8" t="s">
        <v>2247</v>
      </c>
      <c r="C193" s="8" t="s">
        <v>2248</v>
      </c>
      <c r="D193" s="29" t="s">
        <v>1917</v>
      </c>
      <c r="E193" s="8" t="s">
        <v>24</v>
      </c>
      <c r="F193" s="8" t="s">
        <v>24</v>
      </c>
      <c r="G193" s="25">
        <v>100</v>
      </c>
      <c r="H193" s="27" t="str">
        <f>HYPERLINK("https://doc.morningstar.com/Document/1629967723c9f76625f2cce4ed781678.msdoc?clientid=fnz&amp;key=9c0e4d166b60ffd3","TMD")</f>
        <v>TMD</v>
      </c>
      <c r="I193" s="8" t="s">
        <v>25</v>
      </c>
      <c r="J193" s="8" t="s">
        <v>216</v>
      </c>
      <c r="K193" s="8" t="s">
        <v>27</v>
      </c>
      <c r="L193" s="8" t="s">
        <v>27</v>
      </c>
      <c r="M193" s="8" t="s">
        <v>26</v>
      </c>
      <c r="N193" s="8" t="s">
        <v>26</v>
      </c>
      <c r="O193" s="8" t="s">
        <v>27</v>
      </c>
      <c r="P193" s="8" t="s">
        <v>216</v>
      </c>
    </row>
    <row r="194" spans="1:16" x14ac:dyDescent="0.25">
      <c r="A194" s="8" t="s">
        <v>1914</v>
      </c>
      <c r="B194" s="8" t="s">
        <v>2249</v>
      </c>
      <c r="C194" s="8" t="s">
        <v>2250</v>
      </c>
      <c r="D194" s="29" t="s">
        <v>1917</v>
      </c>
      <c r="E194" s="8" t="s">
        <v>24</v>
      </c>
      <c r="F194" s="8" t="s">
        <v>24</v>
      </c>
      <c r="G194" s="25">
        <v>100</v>
      </c>
      <c r="H194" s="27" t="str">
        <f>HYPERLINK("https://doc.morningstar.com/Document/bb07e4480e8453a4513f58d4b1761d7c.msdoc?clientid=fnz&amp;key=9c0e4d166b60ffd3","TMD")</f>
        <v>TMD</v>
      </c>
      <c r="I194" s="8" t="s">
        <v>25</v>
      </c>
      <c r="J194" s="8" t="s">
        <v>27</v>
      </c>
      <c r="K194" s="8" t="s">
        <v>27</v>
      </c>
      <c r="L194" s="8" t="s">
        <v>27</v>
      </c>
      <c r="M194" s="8" t="s">
        <v>216</v>
      </c>
      <c r="N194" s="8" t="s">
        <v>27</v>
      </c>
      <c r="O194" s="8" t="s">
        <v>26</v>
      </c>
      <c r="P194" s="8" t="s">
        <v>26</v>
      </c>
    </row>
    <row r="195" spans="1:16" x14ac:dyDescent="0.25">
      <c r="A195" s="8" t="s">
        <v>1914</v>
      </c>
      <c r="B195" s="8" t="s">
        <v>2251</v>
      </c>
      <c r="C195" s="8" t="s">
        <v>2252</v>
      </c>
      <c r="D195" s="29" t="s">
        <v>1917</v>
      </c>
      <c r="E195" s="8" t="s">
        <v>24</v>
      </c>
      <c r="F195" s="8" t="s">
        <v>24</v>
      </c>
      <c r="G195" s="25">
        <v>100</v>
      </c>
      <c r="H195" s="27" t="str">
        <f>HYPERLINK("https://doc.morningstar.com/Document/706074b20cc424420e0283d13d380c98.msdoc?clientid=fnz&amp;key=9c0e4d166b60ffd3","TMD")</f>
        <v>TMD</v>
      </c>
      <c r="I195" s="8" t="s">
        <v>25</v>
      </c>
      <c r="J195" s="8" t="s">
        <v>25</v>
      </c>
      <c r="K195" s="8" t="s">
        <v>25</v>
      </c>
      <c r="L195" s="8" t="s">
        <v>25</v>
      </c>
      <c r="M195" s="8" t="s">
        <v>26</v>
      </c>
      <c r="N195" s="8" t="s">
        <v>27</v>
      </c>
      <c r="O195" s="8" t="s">
        <v>26</v>
      </c>
      <c r="P195" s="8" t="s">
        <v>26</v>
      </c>
    </row>
    <row r="196" spans="1:16" x14ac:dyDescent="0.25">
      <c r="A196" s="8" t="s">
        <v>1914</v>
      </c>
      <c r="B196" s="8" t="s">
        <v>2253</v>
      </c>
      <c r="C196" s="8" t="s">
        <v>2254</v>
      </c>
      <c r="D196" s="29" t="s">
        <v>1917</v>
      </c>
      <c r="E196" s="8" t="s">
        <v>195</v>
      </c>
      <c r="F196" s="8" t="s">
        <v>24</v>
      </c>
      <c r="G196" s="25">
        <v>30</v>
      </c>
      <c r="H196" s="27" t="str">
        <f>HYPERLINK("https://doc.morningstar.com/Document/2c289bc09f1846245b1cdef37becc432.msdoc?clientid=fnz&amp;key=9c0e4d166b60ffd3","TMD")</f>
        <v>TMD</v>
      </c>
      <c r="I196" s="8" t="s">
        <v>25</v>
      </c>
      <c r="J196" s="8" t="s">
        <v>216</v>
      </c>
      <c r="K196" s="8" t="s">
        <v>27</v>
      </c>
      <c r="L196" s="8" t="s">
        <v>27</v>
      </c>
      <c r="M196" s="8" t="s">
        <v>26</v>
      </c>
      <c r="N196" s="8" t="s">
        <v>26</v>
      </c>
      <c r="O196" s="8" t="s">
        <v>27</v>
      </c>
      <c r="P196" s="8" t="s">
        <v>216</v>
      </c>
    </row>
    <row r="197" spans="1:16" x14ac:dyDescent="0.25">
      <c r="A197" s="8" t="s">
        <v>1914</v>
      </c>
      <c r="B197" s="8" t="s">
        <v>2255</v>
      </c>
      <c r="C197" s="8" t="s">
        <v>2256</v>
      </c>
      <c r="D197" s="29" t="s">
        <v>1917</v>
      </c>
      <c r="E197" s="8" t="s">
        <v>24</v>
      </c>
      <c r="F197" s="8" t="s">
        <v>24</v>
      </c>
      <c r="G197" s="25">
        <v>20</v>
      </c>
      <c r="H197" s="27" t="str">
        <f>HYPERLINK("https://doc.morningstar.com/Document/1043096ecb78c5a861111a93ac9275d6.msdoc?clientid=fnz&amp;key=9c0e4d166b60ffd3","TMD")</f>
        <v>TMD</v>
      </c>
      <c r="I197" s="8" t="s">
        <v>25</v>
      </c>
      <c r="J197" s="8" t="s">
        <v>27</v>
      </c>
      <c r="K197" s="8" t="s">
        <v>26</v>
      </c>
      <c r="L197" s="8" t="s">
        <v>26</v>
      </c>
      <c r="M197" s="8" t="s">
        <v>26</v>
      </c>
      <c r="N197" s="8" t="s">
        <v>26</v>
      </c>
      <c r="O197" s="8" t="s">
        <v>26</v>
      </c>
      <c r="P197" s="8" t="s">
        <v>27</v>
      </c>
    </row>
    <row r="198" spans="1:16" x14ac:dyDescent="0.25">
      <c r="A198" s="8" t="s">
        <v>1914</v>
      </c>
      <c r="B198" s="8" t="s">
        <v>2257</v>
      </c>
      <c r="C198" s="8" t="s">
        <v>2258</v>
      </c>
      <c r="D198" s="29" t="s">
        <v>1917</v>
      </c>
      <c r="E198" s="8" t="s">
        <v>24</v>
      </c>
      <c r="F198" s="8" t="s">
        <v>24</v>
      </c>
      <c r="G198" s="25">
        <v>100</v>
      </c>
      <c r="H198" s="27" t="str">
        <f>HYPERLINK("https://doc.morningstar.com/Document/e3ad547b4e918dd12ec98f557601331f.msdoc?clientid=fnz&amp;key=9c0e4d166b60ffd3","TMD")</f>
        <v>TMD</v>
      </c>
      <c r="I198" s="8" t="s">
        <v>25</v>
      </c>
      <c r="J198" s="8" t="s">
        <v>216</v>
      </c>
      <c r="K198" s="8" t="s">
        <v>27</v>
      </c>
      <c r="L198" s="8" t="s">
        <v>27</v>
      </c>
      <c r="M198" s="8" t="s">
        <v>26</v>
      </c>
      <c r="N198" s="8" t="s">
        <v>26</v>
      </c>
      <c r="O198" s="8" t="s">
        <v>216</v>
      </c>
      <c r="P198" s="8" t="s">
        <v>27</v>
      </c>
    </row>
    <row r="199" spans="1:16" x14ac:dyDescent="0.25">
      <c r="A199" s="8" t="s">
        <v>1914</v>
      </c>
      <c r="B199" s="8" t="s">
        <v>2259</v>
      </c>
      <c r="C199" s="8" t="s">
        <v>2260</v>
      </c>
      <c r="D199" s="29" t="s">
        <v>1917</v>
      </c>
      <c r="E199" s="8" t="s">
        <v>24</v>
      </c>
      <c r="F199" s="8" t="s">
        <v>24</v>
      </c>
      <c r="G199" s="25">
        <v>30</v>
      </c>
      <c r="H199" s="27" t="str">
        <f>HYPERLINK("https://doc.morningstar.com/Document/8d8fabf2b0c2f3edd58a3708e7733c39.msdoc?clientid=fnz&amp;key=9c0e4d166b60ffd3","TMD")</f>
        <v>TMD</v>
      </c>
      <c r="I199" s="8" t="s">
        <v>25</v>
      </c>
      <c r="J199" s="8" t="s">
        <v>216</v>
      </c>
      <c r="K199" s="8" t="s">
        <v>27</v>
      </c>
      <c r="L199" s="8" t="s">
        <v>27</v>
      </c>
      <c r="M199" s="8" t="s">
        <v>26</v>
      </c>
      <c r="N199" s="8" t="s">
        <v>26</v>
      </c>
      <c r="O199" s="8" t="s">
        <v>26</v>
      </c>
      <c r="P199" s="8" t="s">
        <v>27</v>
      </c>
    </row>
    <row r="200" spans="1:16" x14ac:dyDescent="0.25">
      <c r="A200" s="8" t="s">
        <v>1914</v>
      </c>
      <c r="B200" s="8" t="s">
        <v>2261</v>
      </c>
      <c r="C200" s="8" t="s">
        <v>2262</v>
      </c>
      <c r="D200" s="29" t="s">
        <v>1917</v>
      </c>
      <c r="E200" s="8" t="s">
        <v>24</v>
      </c>
      <c r="F200" s="8" t="s">
        <v>24</v>
      </c>
      <c r="G200" s="25"/>
      <c r="H200" s="27" t="str">
        <f>HYPERLINK("https://doc.morningstar.com/Document/650d676e3dbe020ac7c964c3ee8103a5.msdoc?clientid=fnz&amp;key=9c0e4d166b60ffd3","TMD")</f>
        <v>TMD</v>
      </c>
      <c r="I200" s="8" t="s">
        <v>25</v>
      </c>
      <c r="J200" s="8" t="s">
        <v>216</v>
      </c>
      <c r="K200" s="8" t="s">
        <v>27</v>
      </c>
      <c r="L200" s="8" t="s">
        <v>27</v>
      </c>
      <c r="M200" s="8" t="s">
        <v>27</v>
      </c>
      <c r="N200" s="8" t="s">
        <v>216</v>
      </c>
      <c r="O200" s="8" t="s">
        <v>26</v>
      </c>
      <c r="P200" s="8" t="s">
        <v>26</v>
      </c>
    </row>
    <row r="201" spans="1:16" x14ac:dyDescent="0.25">
      <c r="A201" s="8" t="s">
        <v>1914</v>
      </c>
      <c r="B201" s="8" t="s">
        <v>2263</v>
      </c>
      <c r="C201" s="8" t="s">
        <v>2264</v>
      </c>
      <c r="D201" s="29" t="s">
        <v>1917</v>
      </c>
      <c r="E201" s="8" t="s">
        <v>24</v>
      </c>
      <c r="F201" s="8" t="s">
        <v>24</v>
      </c>
      <c r="G201" s="25">
        <v>100</v>
      </c>
      <c r="H201" s="27" t="str">
        <f>HYPERLINK("https://doc.morningstar.com/Document/bd3b0a8981c9c3818609b698a411dc54.msdoc?clientid=fnz&amp;key=9c0e4d166b60ffd3","TMD")</f>
        <v>TMD</v>
      </c>
      <c r="I201" s="8" t="s">
        <v>25</v>
      </c>
      <c r="J201" s="8" t="s">
        <v>25</v>
      </c>
      <c r="K201" s="8" t="s">
        <v>25</v>
      </c>
      <c r="L201" s="8" t="s">
        <v>25</v>
      </c>
      <c r="M201" s="8" t="s">
        <v>27</v>
      </c>
      <c r="N201" s="8" t="s">
        <v>26</v>
      </c>
      <c r="O201" s="8" t="s">
        <v>26</v>
      </c>
      <c r="P201" s="8" t="s">
        <v>26</v>
      </c>
    </row>
    <row r="202" spans="1:16" x14ac:dyDescent="0.25">
      <c r="A202" s="8" t="s">
        <v>1914</v>
      </c>
      <c r="B202" s="8" t="s">
        <v>2265</v>
      </c>
      <c r="C202" s="8" t="s">
        <v>2266</v>
      </c>
      <c r="D202" s="29" t="s">
        <v>1917</v>
      </c>
      <c r="E202" s="8" t="s">
        <v>24</v>
      </c>
      <c r="F202" s="8" t="s">
        <v>24</v>
      </c>
      <c r="G202" s="25">
        <v>100</v>
      </c>
      <c r="H202" s="27" t="str">
        <f>HYPERLINK("https://doc.morningstar.com/Document/bb07e4480e8453a489405e753560eede.msdoc?clientid=fnz&amp;key=9c0e4d166b60ffd3","TMD")</f>
        <v>TMD</v>
      </c>
      <c r="I202" s="8" t="s">
        <v>25</v>
      </c>
      <c r="J202" s="8" t="s">
        <v>216</v>
      </c>
      <c r="K202" s="8" t="s">
        <v>27</v>
      </c>
      <c r="L202" s="8" t="s">
        <v>27</v>
      </c>
      <c r="M202" s="8" t="s">
        <v>216</v>
      </c>
      <c r="N202" s="8" t="s">
        <v>27</v>
      </c>
      <c r="O202" s="8" t="s">
        <v>26</v>
      </c>
      <c r="P202" s="8" t="s">
        <v>26</v>
      </c>
    </row>
    <row r="203" spans="1:16" x14ac:dyDescent="0.25">
      <c r="A203" s="8" t="s">
        <v>1914</v>
      </c>
      <c r="B203" s="8" t="s">
        <v>2267</v>
      </c>
      <c r="C203" s="8" t="s">
        <v>2268</v>
      </c>
      <c r="D203" s="29" t="s">
        <v>1917</v>
      </c>
      <c r="E203" s="8" t="s">
        <v>24</v>
      </c>
      <c r="F203" s="8" t="s">
        <v>24</v>
      </c>
      <c r="G203" s="25">
        <v>30</v>
      </c>
      <c r="H203" s="27" t="str">
        <f>HYPERLINK("https://doc.morningstar.com/Document/3be3b6cf7325962a149015cc97d0edd4.msdoc?clientid=fnz&amp;key=9c0e4d166b60ffd3","TMD")</f>
        <v>TMD</v>
      </c>
      <c r="I203" s="8" t="s">
        <v>25</v>
      </c>
      <c r="J203" s="8" t="s">
        <v>216</v>
      </c>
      <c r="K203" s="8" t="s">
        <v>27</v>
      </c>
      <c r="L203" s="8" t="s">
        <v>27</v>
      </c>
      <c r="M203" s="8" t="s">
        <v>26</v>
      </c>
      <c r="N203" s="8" t="s">
        <v>27</v>
      </c>
      <c r="O203" s="8" t="s">
        <v>216</v>
      </c>
      <c r="P203" s="8" t="s">
        <v>26</v>
      </c>
    </row>
    <row r="204" spans="1:16" x14ac:dyDescent="0.25">
      <c r="A204" s="8" t="s">
        <v>1914</v>
      </c>
      <c r="B204" s="8" t="s">
        <v>2269</v>
      </c>
      <c r="C204" s="8" t="s">
        <v>2270</v>
      </c>
      <c r="D204" s="29" t="s">
        <v>1917</v>
      </c>
      <c r="E204" s="8" t="s">
        <v>24</v>
      </c>
      <c r="F204" s="8" t="s">
        <v>24</v>
      </c>
      <c r="G204" s="25"/>
      <c r="H204" s="27" t="str">
        <f>HYPERLINK("https://doc.morningstar.com/Document/d59ee0d873ec1e81b2335ccffaf99190.msdoc?clientid=fnz&amp;key=9c0e4d166b60ffd3","TMD")</f>
        <v>TMD</v>
      </c>
      <c r="I204" s="8" t="s">
        <v>25</v>
      </c>
      <c r="J204" s="8" t="s">
        <v>216</v>
      </c>
      <c r="K204" s="8" t="s">
        <v>27</v>
      </c>
      <c r="L204" s="8" t="s">
        <v>27</v>
      </c>
      <c r="M204" s="8" t="s">
        <v>26</v>
      </c>
      <c r="N204" s="8" t="s">
        <v>26</v>
      </c>
      <c r="O204" s="8" t="s">
        <v>216</v>
      </c>
      <c r="P204" s="8" t="s">
        <v>27</v>
      </c>
    </row>
    <row r="205" spans="1:16" x14ac:dyDescent="0.25">
      <c r="A205" s="8" t="s">
        <v>1914</v>
      </c>
      <c r="B205" s="8" t="s">
        <v>2271</v>
      </c>
      <c r="C205" s="8" t="s">
        <v>2272</v>
      </c>
      <c r="D205" s="29" t="s">
        <v>1917</v>
      </c>
      <c r="E205" s="8" t="s">
        <v>24</v>
      </c>
      <c r="F205" s="8" t="s">
        <v>24</v>
      </c>
      <c r="G205" s="25">
        <v>30</v>
      </c>
      <c r="H205" s="27" t="str">
        <f>HYPERLINK("https://doc.morningstar.com/Document/2aad2fb697c580a074d370e3cc8de57a.msdoc?clientid=fnz&amp;key=9c0e4d166b60ffd3","TMD")</f>
        <v>TMD</v>
      </c>
      <c r="I205" s="8" t="s">
        <v>25</v>
      </c>
      <c r="J205" s="8" t="s">
        <v>216</v>
      </c>
      <c r="K205" s="8" t="s">
        <v>27</v>
      </c>
      <c r="L205" s="8" t="s">
        <v>27</v>
      </c>
      <c r="M205" s="8" t="s">
        <v>26</v>
      </c>
      <c r="N205" s="8" t="s">
        <v>26</v>
      </c>
      <c r="O205" s="8" t="s">
        <v>26</v>
      </c>
      <c r="P205" s="8" t="s">
        <v>27</v>
      </c>
    </row>
    <row r="206" spans="1:16" x14ac:dyDescent="0.25">
      <c r="A206" s="8" t="s">
        <v>1914</v>
      </c>
      <c r="B206" s="8" t="s">
        <v>2273</v>
      </c>
      <c r="C206" s="8" t="s">
        <v>2274</v>
      </c>
      <c r="D206" s="29" t="s">
        <v>1917</v>
      </c>
      <c r="E206" s="8" t="s">
        <v>24</v>
      </c>
      <c r="F206" s="8" t="s">
        <v>24</v>
      </c>
      <c r="G206" s="25">
        <v>100</v>
      </c>
      <c r="H206" s="27" t="str">
        <f>HYPERLINK("https://doc.morningstar.com/Document/d37e74c56af10999ba988ebf93feffab.msdoc?clientid=fnz&amp;key=9c0e4d166b60ffd3","TMD")</f>
        <v>TMD</v>
      </c>
      <c r="I206" s="8" t="s">
        <v>25</v>
      </c>
      <c r="J206" s="8" t="s">
        <v>216</v>
      </c>
      <c r="K206" s="8" t="s">
        <v>27</v>
      </c>
      <c r="L206" s="8" t="s">
        <v>27</v>
      </c>
      <c r="M206" s="8" t="s">
        <v>26</v>
      </c>
      <c r="N206" s="8" t="s">
        <v>26</v>
      </c>
      <c r="O206" s="8" t="s">
        <v>216</v>
      </c>
      <c r="P206" s="8" t="s">
        <v>27</v>
      </c>
    </row>
    <row r="207" spans="1:16" x14ac:dyDescent="0.25">
      <c r="A207" s="8" t="s">
        <v>1914</v>
      </c>
      <c r="B207" s="8" t="s">
        <v>2275</v>
      </c>
      <c r="C207" s="8" t="s">
        <v>2276</v>
      </c>
      <c r="D207" s="29" t="s">
        <v>1917</v>
      </c>
      <c r="E207" s="8" t="s">
        <v>24</v>
      </c>
      <c r="F207" s="8" t="s">
        <v>24</v>
      </c>
      <c r="G207" s="25">
        <v>10</v>
      </c>
      <c r="H207" s="27" t="str">
        <f>HYPERLINK("https://doc.morningstar.com/Document/292c39ab5da87a2dff074e6f503ad3a2.msdoc?clientid=fnz&amp;key=9c0e4d166b60ffd3","TMD")</f>
        <v>TMD</v>
      </c>
      <c r="I207" s="8" t="s">
        <v>25</v>
      </c>
      <c r="J207" s="8" t="s">
        <v>27</v>
      </c>
      <c r="K207" s="8" t="s">
        <v>26</v>
      </c>
      <c r="L207" s="8" t="s">
        <v>26</v>
      </c>
      <c r="M207" s="8" t="s">
        <v>26</v>
      </c>
      <c r="N207" s="8" t="s">
        <v>26</v>
      </c>
      <c r="O207" s="8" t="s">
        <v>26</v>
      </c>
      <c r="P207" s="8" t="s">
        <v>27</v>
      </c>
    </row>
    <row r="208" spans="1:16" x14ac:dyDescent="0.25">
      <c r="A208" s="8" t="s">
        <v>1914</v>
      </c>
      <c r="B208" s="8" t="s">
        <v>2277</v>
      </c>
      <c r="C208" s="8" t="s">
        <v>2278</v>
      </c>
      <c r="D208" s="29" t="s">
        <v>1917</v>
      </c>
      <c r="E208" s="8" t="s">
        <v>195</v>
      </c>
      <c r="F208" s="8" t="s">
        <v>24</v>
      </c>
      <c r="G208" s="25"/>
      <c r="H208" s="27" t="str">
        <f>HYPERLINK("https://doc.morningstar.com/Document/a114b2fae47c7e5a0fd82fb9ce324f7b.msdoc?clientid=fnz&amp;key=9c0e4d166b60ffd3","TMD")</f>
        <v>TMD</v>
      </c>
      <c r="I208" s="8" t="s">
        <v>25</v>
      </c>
      <c r="J208" s="8" t="s">
        <v>25</v>
      </c>
      <c r="K208" s="8" t="s">
        <v>25</v>
      </c>
      <c r="L208" s="8" t="s">
        <v>25</v>
      </c>
      <c r="M208" s="8" t="s">
        <v>26</v>
      </c>
      <c r="N208" s="8" t="s">
        <v>26</v>
      </c>
      <c r="O208" s="8" t="s">
        <v>26</v>
      </c>
      <c r="P208" s="8" t="s">
        <v>27</v>
      </c>
    </row>
    <row r="209" spans="1:16" x14ac:dyDescent="0.25">
      <c r="A209" s="8" t="s">
        <v>1914</v>
      </c>
      <c r="B209" s="8" t="s">
        <v>2279</v>
      </c>
      <c r="C209" s="8" t="s">
        <v>2280</v>
      </c>
      <c r="D209" s="29" t="s">
        <v>1917</v>
      </c>
      <c r="E209" s="8" t="s">
        <v>24</v>
      </c>
      <c r="F209" s="8" t="s">
        <v>24</v>
      </c>
      <c r="G209" s="25">
        <v>30</v>
      </c>
      <c r="H209" s="27" t="str">
        <f>HYPERLINK("https://doc.morningstar.com/Document/9e7ac2956eff75c64c1d8d3c3a2e170b.msdoc?clientid=fnz&amp;key=9c0e4d166b60ffd3","TMD")</f>
        <v>TMD</v>
      </c>
      <c r="I209" s="8" t="s">
        <v>25</v>
      </c>
      <c r="J209" s="8" t="s">
        <v>25</v>
      </c>
      <c r="K209" s="8" t="s">
        <v>25</v>
      </c>
      <c r="L209" s="8" t="s">
        <v>25</v>
      </c>
      <c r="M209" s="8" t="s">
        <v>26</v>
      </c>
      <c r="N209" s="8" t="s">
        <v>26</v>
      </c>
      <c r="O209" s="8" t="s">
        <v>26</v>
      </c>
      <c r="P209" s="8" t="s">
        <v>27</v>
      </c>
    </row>
    <row r="210" spans="1:16" x14ac:dyDescent="0.25">
      <c r="A210" s="8" t="s">
        <v>1914</v>
      </c>
      <c r="B210" s="8" t="s">
        <v>2281</v>
      </c>
      <c r="C210" s="8" t="s">
        <v>2282</v>
      </c>
      <c r="D210" s="29" t="s">
        <v>1917</v>
      </c>
      <c r="E210" s="8" t="s">
        <v>195</v>
      </c>
      <c r="F210" s="8" t="s">
        <v>24</v>
      </c>
      <c r="G210" s="25"/>
      <c r="H210" s="27" t="str">
        <f>HYPERLINK("https://doc.morningstar.com/Document/47364d4ec904f441f136142858445b8d.msdoc?clientid=fnz&amp;key=9c0e4d166b60ffd3","TMD")</f>
        <v>TMD</v>
      </c>
      <c r="I210" s="8" t="s">
        <v>25</v>
      </c>
      <c r="J210" s="8" t="s">
        <v>25</v>
      </c>
      <c r="K210" s="8" t="s">
        <v>25</v>
      </c>
      <c r="L210" s="8" t="s">
        <v>25</v>
      </c>
      <c r="M210" s="8" t="s">
        <v>26</v>
      </c>
      <c r="N210" s="8" t="s">
        <v>26</v>
      </c>
      <c r="O210" s="8" t="s">
        <v>26</v>
      </c>
      <c r="P210" s="8" t="s">
        <v>26</v>
      </c>
    </row>
    <row r="211" spans="1:16" x14ac:dyDescent="0.25">
      <c r="A211" s="8" t="s">
        <v>1914</v>
      </c>
      <c r="B211" s="8" t="s">
        <v>2283</v>
      </c>
      <c r="C211" s="8" t="s">
        <v>2284</v>
      </c>
      <c r="D211" s="29" t="s">
        <v>1917</v>
      </c>
      <c r="E211" s="8" t="s">
        <v>24</v>
      </c>
      <c r="F211" s="8" t="s">
        <v>24</v>
      </c>
      <c r="G211" s="25">
        <v>100</v>
      </c>
      <c r="H211" s="27" t="str">
        <f>HYPERLINK("https://doc.morningstar.com/Document/abf48e8a680398d3c4fcf4d89fd1678d.msdoc?clientid=fnz&amp;key=9c0e4d166b60ffd3","TMD")</f>
        <v>TMD</v>
      </c>
      <c r="I211" s="8" t="s">
        <v>25</v>
      </c>
      <c r="J211" s="8" t="s">
        <v>216</v>
      </c>
      <c r="K211" s="8" t="s">
        <v>27</v>
      </c>
      <c r="L211" s="8" t="s">
        <v>27</v>
      </c>
      <c r="M211" s="8" t="s">
        <v>26</v>
      </c>
      <c r="N211" s="8" t="s">
        <v>26</v>
      </c>
      <c r="O211" s="8" t="s">
        <v>26</v>
      </c>
      <c r="P211" s="8" t="s">
        <v>27</v>
      </c>
    </row>
    <row r="212" spans="1:16" x14ac:dyDescent="0.25">
      <c r="A212" s="8" t="s">
        <v>1914</v>
      </c>
      <c r="B212" s="8" t="s">
        <v>2285</v>
      </c>
      <c r="C212" s="8" t="s">
        <v>2286</v>
      </c>
      <c r="D212" s="29" t="s">
        <v>1917</v>
      </c>
      <c r="E212" s="8" t="s">
        <v>195</v>
      </c>
      <c r="F212" s="8" t="s">
        <v>24</v>
      </c>
      <c r="G212" s="25"/>
      <c r="H212" s="27" t="str">
        <f>HYPERLINK("https://doc.morningstar.com/Document/adfdb2c4c539fc4ed1ad3cda4bce36ae.msdoc?clientid=fnz&amp;key=9c0e4d166b60ffd3","TMD")</f>
        <v>TMD</v>
      </c>
      <c r="I212" s="8" t="s">
        <v>25</v>
      </c>
      <c r="J212" s="8" t="s">
        <v>216</v>
      </c>
      <c r="K212" s="8" t="s">
        <v>27</v>
      </c>
      <c r="L212" s="8" t="s">
        <v>27</v>
      </c>
      <c r="M212" s="8" t="s">
        <v>26</v>
      </c>
      <c r="N212" s="8" t="s">
        <v>26</v>
      </c>
      <c r="O212" s="8" t="s">
        <v>26</v>
      </c>
      <c r="P212" s="8" t="s">
        <v>27</v>
      </c>
    </row>
    <row r="213" spans="1:16" x14ac:dyDescent="0.25">
      <c r="A213" s="8" t="s">
        <v>1914</v>
      </c>
      <c r="B213" s="8" t="s">
        <v>2287</v>
      </c>
      <c r="C213" s="8" t="s">
        <v>2288</v>
      </c>
      <c r="D213" s="29" t="s">
        <v>1917</v>
      </c>
      <c r="E213" s="8" t="s">
        <v>24</v>
      </c>
      <c r="F213" s="8" t="s">
        <v>24</v>
      </c>
      <c r="G213" s="25">
        <v>30</v>
      </c>
      <c r="H213" s="27" t="str">
        <f>HYPERLINK("https://doc.morningstar.com/Document/96ec742b87fa296b91c00affe6b8faf7.msdoc?clientid=fnz&amp;key=9c0e4d166b60ffd3","TMD")</f>
        <v>TMD</v>
      </c>
      <c r="I213" s="8" t="s">
        <v>25</v>
      </c>
      <c r="J213" s="8" t="s">
        <v>27</v>
      </c>
      <c r="K213" s="8" t="s">
        <v>216</v>
      </c>
      <c r="L213" s="8" t="s">
        <v>26</v>
      </c>
      <c r="M213" s="8" t="s">
        <v>26</v>
      </c>
      <c r="N213" s="8" t="s">
        <v>26</v>
      </c>
      <c r="O213" s="8" t="s">
        <v>26</v>
      </c>
      <c r="P213" s="8" t="s">
        <v>27</v>
      </c>
    </row>
    <row r="214" spans="1:16" x14ac:dyDescent="0.25">
      <c r="A214" s="8" t="s">
        <v>1914</v>
      </c>
      <c r="B214" s="8" t="s">
        <v>2289</v>
      </c>
      <c r="C214" s="8" t="s">
        <v>2290</v>
      </c>
      <c r="D214" s="29" t="s">
        <v>1917</v>
      </c>
      <c r="E214" s="8" t="s">
        <v>195</v>
      </c>
      <c r="F214" s="8" t="s">
        <v>24</v>
      </c>
      <c r="G214" s="25"/>
      <c r="H214" s="27" t="str">
        <f>HYPERLINK("https://doc.morningstar.com/Document/654d88b0880ab9ff0bee7b858d294c44.msdoc?clientid=fnz&amp;key=9c0e4d166b60ffd3","TMD")</f>
        <v>TMD</v>
      </c>
      <c r="I214" s="8" t="s">
        <v>25</v>
      </c>
      <c r="J214" s="8" t="s">
        <v>216</v>
      </c>
      <c r="K214" s="8" t="s">
        <v>27</v>
      </c>
      <c r="L214" s="8" t="s">
        <v>27</v>
      </c>
      <c r="M214" s="8" t="s">
        <v>26</v>
      </c>
      <c r="N214" s="8" t="s">
        <v>26</v>
      </c>
      <c r="O214" s="8" t="s">
        <v>26</v>
      </c>
      <c r="P214" s="8" t="s">
        <v>27</v>
      </c>
    </row>
    <row r="215" spans="1:16" x14ac:dyDescent="0.25">
      <c r="A215" s="8" t="s">
        <v>1914</v>
      </c>
      <c r="B215" s="8" t="s">
        <v>2291</v>
      </c>
      <c r="C215" s="8" t="s">
        <v>2292</v>
      </c>
      <c r="D215" s="29" t="s">
        <v>1917</v>
      </c>
      <c r="E215" s="8" t="s">
        <v>24</v>
      </c>
      <c r="F215" s="8" t="s">
        <v>24</v>
      </c>
      <c r="G215" s="25"/>
      <c r="H215" s="27" t="str">
        <f>HYPERLINK("https://doc.morningstar.com/Document/fe26deaa12a13219fff99c4a669fe011.msdoc?clientid=fnz&amp;key=9c0e4d166b60ffd3","TMD")</f>
        <v>TMD</v>
      </c>
      <c r="I215" s="8" t="s">
        <v>25</v>
      </c>
      <c r="J215" s="8" t="s">
        <v>216</v>
      </c>
      <c r="K215" s="8" t="s">
        <v>27</v>
      </c>
      <c r="L215" s="8" t="s">
        <v>27</v>
      </c>
      <c r="M215" s="8" t="s">
        <v>26</v>
      </c>
      <c r="N215" s="8" t="s">
        <v>26</v>
      </c>
      <c r="O215" s="8" t="s">
        <v>26</v>
      </c>
      <c r="P215" s="8" t="s">
        <v>27</v>
      </c>
    </row>
    <row r="216" spans="1:16" x14ac:dyDescent="0.25">
      <c r="A216" s="8" t="s">
        <v>1914</v>
      </c>
      <c r="B216" s="8" t="s">
        <v>2293</v>
      </c>
      <c r="C216" s="8" t="s">
        <v>2294</v>
      </c>
      <c r="D216" s="29" t="s">
        <v>1917</v>
      </c>
      <c r="E216" s="8" t="s">
        <v>195</v>
      </c>
      <c r="F216" s="8" t="s">
        <v>24</v>
      </c>
      <c r="G216" s="25"/>
      <c r="H216" s="27" t="str">
        <f>HYPERLINK("https://doc.morningstar.com/Document/52589dbfdc08b51a5c5dfb441750971d.msdoc?clientid=fnz&amp;key=9c0e4d166b60ffd3","TMD")</f>
        <v>TMD</v>
      </c>
      <c r="I216" s="8" t="s">
        <v>25</v>
      </c>
      <c r="J216" s="8" t="s">
        <v>25</v>
      </c>
      <c r="K216" s="8" t="s">
        <v>25</v>
      </c>
      <c r="L216" s="8" t="s">
        <v>25</v>
      </c>
      <c r="M216" s="8" t="s">
        <v>26</v>
      </c>
      <c r="N216" s="8" t="s">
        <v>26</v>
      </c>
      <c r="O216" s="8" t="s">
        <v>26</v>
      </c>
      <c r="P216" s="8" t="s">
        <v>27</v>
      </c>
    </row>
    <row r="217" spans="1:16" x14ac:dyDescent="0.25">
      <c r="A217" s="8" t="s">
        <v>1914</v>
      </c>
      <c r="B217" s="8" t="s">
        <v>2295</v>
      </c>
      <c r="C217" s="8" t="s">
        <v>2296</v>
      </c>
      <c r="D217" s="29" t="s">
        <v>1917</v>
      </c>
      <c r="E217" s="8" t="s">
        <v>24</v>
      </c>
      <c r="F217" s="8" t="s">
        <v>24</v>
      </c>
      <c r="G217" s="25"/>
      <c r="H217" s="27" t="str">
        <f>HYPERLINK("https://doc.morningstar.com/Document/690f9a13297b56dd5fe09e0fdf165905.msdoc?clientid=fnz&amp;key=9c0e4d166b60ffd3","TMD")</f>
        <v>TMD</v>
      </c>
      <c r="I217" s="8" t="s">
        <v>25</v>
      </c>
      <c r="J217" s="8" t="s">
        <v>216</v>
      </c>
      <c r="K217" s="8" t="s">
        <v>27</v>
      </c>
      <c r="L217" s="8" t="s">
        <v>27</v>
      </c>
      <c r="M217" s="8" t="s">
        <v>26</v>
      </c>
      <c r="N217" s="8" t="s">
        <v>27</v>
      </c>
      <c r="O217" s="8" t="s">
        <v>216</v>
      </c>
      <c r="P217" s="8" t="s">
        <v>26</v>
      </c>
    </row>
    <row r="218" spans="1:16" x14ac:dyDescent="0.25">
      <c r="A218" s="8" t="s">
        <v>1914</v>
      </c>
      <c r="B218" s="8" t="s">
        <v>2297</v>
      </c>
      <c r="C218" s="8" t="s">
        <v>2298</v>
      </c>
      <c r="D218" s="29" t="s">
        <v>1917</v>
      </c>
      <c r="E218" s="8" t="s">
        <v>24</v>
      </c>
      <c r="F218" s="8" t="s">
        <v>24</v>
      </c>
      <c r="G218" s="25">
        <v>100</v>
      </c>
      <c r="H218" s="27" t="str">
        <f>HYPERLINK("https://doc.morningstar.com/Document/bdfc9960bc587672a2d49d250bac7d27.msdoc?clientid=fnz&amp;key=9c0e4d166b60ffd3","TMD")</f>
        <v>TMD</v>
      </c>
      <c r="I218" s="8" t="s">
        <v>25</v>
      </c>
      <c r="J218" s="8" t="s">
        <v>216</v>
      </c>
      <c r="K218" s="8" t="s">
        <v>27</v>
      </c>
      <c r="L218" s="8" t="s">
        <v>27</v>
      </c>
      <c r="M218" s="8" t="s">
        <v>26</v>
      </c>
      <c r="N218" s="8" t="s">
        <v>26</v>
      </c>
      <c r="O218" s="8" t="s">
        <v>27</v>
      </c>
      <c r="P218" s="8" t="s">
        <v>216</v>
      </c>
    </row>
    <row r="219" spans="1:16" x14ac:dyDescent="0.25">
      <c r="A219" s="8" t="s">
        <v>1914</v>
      </c>
      <c r="B219" s="8" t="s">
        <v>2299</v>
      </c>
      <c r="C219" s="8" t="s">
        <v>2300</v>
      </c>
      <c r="D219" s="29" t="s">
        <v>1917</v>
      </c>
      <c r="E219" s="8" t="s">
        <v>24</v>
      </c>
      <c r="F219" s="8" t="s">
        <v>24</v>
      </c>
      <c r="G219" s="25">
        <v>100</v>
      </c>
      <c r="H219" s="27" t="str">
        <f>HYPERLINK("https://doc.morningstar.com/Document/f20dbf384dfba076c84f3351d9fe05b8.msdoc?clientid=fnz&amp;key=9c0e4d166b60ffd3","TMD")</f>
        <v>TMD</v>
      </c>
      <c r="I219" s="8" t="s">
        <v>25</v>
      </c>
      <c r="J219" s="8" t="s">
        <v>216</v>
      </c>
      <c r="K219" s="8" t="s">
        <v>27</v>
      </c>
      <c r="L219" s="8" t="s">
        <v>27</v>
      </c>
      <c r="M219" s="8" t="s">
        <v>26</v>
      </c>
      <c r="N219" s="8" t="s">
        <v>26</v>
      </c>
      <c r="O219" s="8" t="s">
        <v>27</v>
      </c>
      <c r="P219" s="8" t="s">
        <v>216</v>
      </c>
    </row>
    <row r="220" spans="1:16" x14ac:dyDescent="0.25">
      <c r="A220" s="8" t="s">
        <v>1914</v>
      </c>
      <c r="B220" s="8" t="s">
        <v>2301</v>
      </c>
      <c r="C220" s="8" t="s">
        <v>2302</v>
      </c>
      <c r="D220" s="29" t="s">
        <v>1917</v>
      </c>
      <c r="E220" s="8" t="s">
        <v>195</v>
      </c>
      <c r="F220" s="8" t="s">
        <v>24</v>
      </c>
      <c r="G220" s="25"/>
      <c r="H220" s="27" t="str">
        <f>HYPERLINK("https://doc.morningstar.com/Document/f78ee5a4d6b43d29785f2ffa49ec8669.msdoc?clientid=fnz&amp;key=9c0e4d166b60ffd3","TMD")</f>
        <v>TMD</v>
      </c>
      <c r="I220" s="8" t="s">
        <v>25</v>
      </c>
      <c r="J220" s="8" t="s">
        <v>216</v>
      </c>
      <c r="K220" s="8" t="s">
        <v>27</v>
      </c>
      <c r="L220" s="8" t="s">
        <v>27</v>
      </c>
      <c r="M220" s="8" t="s">
        <v>26</v>
      </c>
      <c r="N220" s="8" t="s">
        <v>26</v>
      </c>
      <c r="O220" s="8" t="s">
        <v>26</v>
      </c>
      <c r="P220" s="8" t="s">
        <v>27</v>
      </c>
    </row>
    <row r="221" spans="1:16" x14ac:dyDescent="0.25">
      <c r="A221" s="8" t="s">
        <v>1914</v>
      </c>
      <c r="B221" s="8" t="s">
        <v>2303</v>
      </c>
      <c r="C221" s="8" t="s">
        <v>2304</v>
      </c>
      <c r="D221" s="29" t="s">
        <v>1917</v>
      </c>
      <c r="E221" s="8" t="s">
        <v>24</v>
      </c>
      <c r="F221" s="8" t="s">
        <v>24</v>
      </c>
      <c r="G221" s="25">
        <v>100</v>
      </c>
      <c r="H221" s="27" t="str">
        <f>HYPERLINK("https://doc.morningstar.com/Document/15b8e067918a795ab19738592835e933.msdoc?clientid=fnz&amp;key=9c0e4d166b60ffd3","TMD")</f>
        <v>TMD</v>
      </c>
      <c r="I221" s="8" t="s">
        <v>25</v>
      </c>
      <c r="J221" s="8" t="s">
        <v>216</v>
      </c>
      <c r="K221" s="8" t="s">
        <v>27</v>
      </c>
      <c r="L221" s="8" t="s">
        <v>27</v>
      </c>
      <c r="M221" s="8" t="s">
        <v>26</v>
      </c>
      <c r="N221" s="8" t="s">
        <v>26</v>
      </c>
      <c r="O221" s="8" t="s">
        <v>26</v>
      </c>
      <c r="P221" s="8" t="s">
        <v>27</v>
      </c>
    </row>
    <row r="222" spans="1:16" x14ac:dyDescent="0.25">
      <c r="A222" s="8" t="s">
        <v>1914</v>
      </c>
      <c r="B222" s="8" t="s">
        <v>2305</v>
      </c>
      <c r="C222" s="8" t="s">
        <v>2306</v>
      </c>
      <c r="D222" s="29" t="s">
        <v>1917</v>
      </c>
      <c r="E222" s="8" t="s">
        <v>24</v>
      </c>
      <c r="F222" s="8" t="s">
        <v>24</v>
      </c>
      <c r="G222" s="25">
        <v>100</v>
      </c>
      <c r="H222" s="27" t="str">
        <f>HYPERLINK("https://doc.morningstar.com/Document/d5a79d7fdee38e7f78b8a8839d3a90fc.msdoc?clientid=fnz&amp;key=9c0e4d166b60ffd3","TMD")</f>
        <v>TMD</v>
      </c>
      <c r="I222" s="8" t="s">
        <v>25</v>
      </c>
      <c r="J222" s="8" t="s">
        <v>216</v>
      </c>
      <c r="K222" s="8" t="s">
        <v>27</v>
      </c>
      <c r="L222" s="8" t="s">
        <v>27</v>
      </c>
      <c r="M222" s="8" t="s">
        <v>26</v>
      </c>
      <c r="N222" s="8" t="s">
        <v>26</v>
      </c>
      <c r="O222" s="8" t="s">
        <v>27</v>
      </c>
      <c r="P222" s="8" t="s">
        <v>216</v>
      </c>
    </row>
    <row r="223" spans="1:16" x14ac:dyDescent="0.25">
      <c r="A223" s="8" t="s">
        <v>1914</v>
      </c>
      <c r="B223" s="8" t="s">
        <v>2307</v>
      </c>
      <c r="C223" s="8" t="s">
        <v>2308</v>
      </c>
      <c r="D223" s="29" t="s">
        <v>1917</v>
      </c>
      <c r="E223" s="8" t="s">
        <v>24</v>
      </c>
      <c r="F223" s="8" t="s">
        <v>24</v>
      </c>
      <c r="G223" s="25">
        <v>30</v>
      </c>
      <c r="H223" s="27" t="str">
        <f>HYPERLINK("https://doc.morningstar.com/Document/977cf4a56992c3ff6526e3e766997d1c.msdoc?clientid=fnz&amp;key=9c0e4d166b60ffd3","TMD")</f>
        <v>TMD</v>
      </c>
      <c r="I223" s="8" t="s">
        <v>25</v>
      </c>
      <c r="J223" s="8" t="s">
        <v>216</v>
      </c>
      <c r="K223" s="8" t="s">
        <v>27</v>
      </c>
      <c r="L223" s="8" t="s">
        <v>27</v>
      </c>
      <c r="M223" s="8" t="s">
        <v>26</v>
      </c>
      <c r="N223" s="8" t="s">
        <v>26</v>
      </c>
      <c r="O223" s="8" t="s">
        <v>26</v>
      </c>
      <c r="P223" s="8" t="s">
        <v>27</v>
      </c>
    </row>
    <row r="224" spans="1:16" x14ac:dyDescent="0.25">
      <c r="A224" s="8" t="s">
        <v>1914</v>
      </c>
      <c r="B224" s="8" t="s">
        <v>2309</v>
      </c>
      <c r="C224" s="8" t="s">
        <v>2310</v>
      </c>
      <c r="D224" s="29" t="s">
        <v>1917</v>
      </c>
      <c r="E224" s="8" t="s">
        <v>24</v>
      </c>
      <c r="F224" s="8" t="s">
        <v>24</v>
      </c>
      <c r="G224" s="25"/>
      <c r="H224" s="27" t="str">
        <f>HYPERLINK("https://doc.morningstar.com/Document/292c39ab5da87a2d1c74d81dd01916eb.msdoc?clientid=fnz&amp;key=9c0e4d166b60ffd3","TMD")</f>
        <v>TMD</v>
      </c>
      <c r="I224" s="8" t="s">
        <v>25</v>
      </c>
      <c r="J224" s="8" t="s">
        <v>216</v>
      </c>
      <c r="K224" s="8" t="s">
        <v>27</v>
      </c>
      <c r="L224" s="8" t="s">
        <v>27</v>
      </c>
      <c r="M224" s="8" t="s">
        <v>26</v>
      </c>
      <c r="N224" s="8" t="s">
        <v>26</v>
      </c>
      <c r="O224" s="8" t="s">
        <v>26</v>
      </c>
      <c r="P224" s="8" t="s">
        <v>27</v>
      </c>
    </row>
    <row r="225" spans="1:16" x14ac:dyDescent="0.25">
      <c r="A225" s="8" t="s">
        <v>1914</v>
      </c>
      <c r="B225" s="8" t="s">
        <v>2311</v>
      </c>
      <c r="C225" s="8" t="s">
        <v>2312</v>
      </c>
      <c r="D225" s="29" t="s">
        <v>1917</v>
      </c>
      <c r="E225" s="8" t="s">
        <v>24</v>
      </c>
      <c r="F225" s="8" t="s">
        <v>24</v>
      </c>
      <c r="G225" s="25"/>
      <c r="H225" s="27" t="str">
        <f>HYPERLINK("https://doc.morningstar.com/Document/a9f5a4ed3354fb018ba0f75180756cc8.msdoc?clientid=fnz&amp;key=9c0e4d166b60ffd3","TMD")</f>
        <v>TMD</v>
      </c>
      <c r="I225" s="8" t="s">
        <v>25</v>
      </c>
      <c r="J225" s="8" t="s">
        <v>216</v>
      </c>
      <c r="K225" s="8" t="s">
        <v>27</v>
      </c>
      <c r="L225" s="8" t="s">
        <v>27</v>
      </c>
      <c r="M225" s="8" t="s">
        <v>26</v>
      </c>
      <c r="N225" s="8" t="s">
        <v>26</v>
      </c>
      <c r="O225" s="8" t="s">
        <v>26</v>
      </c>
      <c r="P225" s="8" t="s">
        <v>27</v>
      </c>
    </row>
    <row r="226" spans="1:16" x14ac:dyDescent="0.25">
      <c r="A226" s="8" t="s">
        <v>1914</v>
      </c>
      <c r="B226" s="8" t="s">
        <v>2313</v>
      </c>
      <c r="C226" s="8" t="s">
        <v>2314</v>
      </c>
      <c r="D226" s="29" t="s">
        <v>1917</v>
      </c>
      <c r="E226" s="8" t="s">
        <v>24</v>
      </c>
      <c r="F226" s="8" t="s">
        <v>24</v>
      </c>
      <c r="G226" s="25">
        <v>30</v>
      </c>
      <c r="H226" s="27" t="str">
        <f>HYPERLINK("https://doc.morningstar.com/Document/f78ee5a4d6b43d2947b0877316e7e5d1.msdoc?clientid=fnz&amp;key=9c0e4d166b60ffd3","TMD")</f>
        <v>TMD</v>
      </c>
      <c r="I226" s="8" t="s">
        <v>25</v>
      </c>
      <c r="J226" s="8" t="s">
        <v>216</v>
      </c>
      <c r="K226" s="8" t="s">
        <v>27</v>
      </c>
      <c r="L226" s="8" t="s">
        <v>27</v>
      </c>
      <c r="M226" s="8" t="s">
        <v>26</v>
      </c>
      <c r="N226" s="8" t="s">
        <v>26</v>
      </c>
      <c r="O226" s="8" t="s">
        <v>26</v>
      </c>
      <c r="P226" s="8" t="s">
        <v>27</v>
      </c>
    </row>
    <row r="227" spans="1:16" x14ac:dyDescent="0.25">
      <c r="A227" s="8" t="s">
        <v>1914</v>
      </c>
      <c r="B227" s="8" t="s">
        <v>2315</v>
      </c>
      <c r="C227" s="8" t="s">
        <v>2316</v>
      </c>
      <c r="D227" s="29" t="s">
        <v>1917</v>
      </c>
      <c r="E227" s="8" t="s">
        <v>24</v>
      </c>
      <c r="F227" s="8" t="s">
        <v>24</v>
      </c>
      <c r="G227" s="25"/>
      <c r="H227" s="27" t="str">
        <f>HYPERLINK("https://doc.morningstar.com/Document/f315315c1ac7731972d1c6ba1aca2c1d.msdoc?clientid=fnz&amp;key=9c0e4d166b60ffd3","TMD")</f>
        <v>TMD</v>
      </c>
      <c r="I227" s="8" t="s">
        <v>25</v>
      </c>
      <c r="J227" s="8" t="s">
        <v>25</v>
      </c>
      <c r="K227" s="8" t="s">
        <v>25</v>
      </c>
      <c r="L227" s="8" t="s">
        <v>25</v>
      </c>
      <c r="M227" s="8" t="s">
        <v>26</v>
      </c>
      <c r="N227" s="8" t="s">
        <v>26</v>
      </c>
      <c r="O227" s="8" t="s">
        <v>27</v>
      </c>
      <c r="P227" s="8" t="s">
        <v>26</v>
      </c>
    </row>
    <row r="228" spans="1:16" x14ac:dyDescent="0.25">
      <c r="A228" s="8" t="s">
        <v>1914</v>
      </c>
      <c r="B228" s="8" t="s">
        <v>2317</v>
      </c>
      <c r="C228" s="8" t="s">
        <v>2318</v>
      </c>
      <c r="D228" s="29" t="s">
        <v>1917</v>
      </c>
      <c r="E228" s="8" t="s">
        <v>24</v>
      </c>
      <c r="F228" s="8" t="s">
        <v>24</v>
      </c>
      <c r="G228" s="25">
        <v>30</v>
      </c>
      <c r="H228" s="27" t="str">
        <f>HYPERLINK("https://doc.morningstar.com/Document/14dfdbc1fb9e8ae663efccee64098060.msdoc?clientid=fnz&amp;key=9c0e4d166b60ffd3","TMD")</f>
        <v>TMD</v>
      </c>
      <c r="I228" s="8" t="s">
        <v>25</v>
      </c>
      <c r="J228" s="8" t="s">
        <v>216</v>
      </c>
      <c r="K228" s="8" t="s">
        <v>27</v>
      </c>
      <c r="L228" s="8" t="s">
        <v>27</v>
      </c>
      <c r="M228" s="8" t="s">
        <v>26</v>
      </c>
      <c r="N228" s="8" t="s">
        <v>26</v>
      </c>
      <c r="O228" s="8" t="s">
        <v>26</v>
      </c>
      <c r="P228" s="8" t="s">
        <v>27</v>
      </c>
    </row>
    <row r="229" spans="1:16" x14ac:dyDescent="0.25">
      <c r="A229" s="8" t="s">
        <v>1914</v>
      </c>
      <c r="B229" s="8" t="s">
        <v>2319</v>
      </c>
      <c r="C229" s="8" t="s">
        <v>2320</v>
      </c>
      <c r="D229" s="29" t="s">
        <v>1917</v>
      </c>
      <c r="E229" s="8" t="s">
        <v>24</v>
      </c>
      <c r="F229" s="8" t="s">
        <v>24</v>
      </c>
      <c r="G229" s="25">
        <v>30</v>
      </c>
      <c r="H229" s="27" t="str">
        <f>HYPERLINK("https://doc.morningstar.com/Document/f78ee5a4d6b43d29cee2e9d929f1c21d.msdoc?clientid=fnz&amp;key=9c0e4d166b60ffd3","TMD")</f>
        <v>TMD</v>
      </c>
      <c r="I229" s="8" t="s">
        <v>25</v>
      </c>
      <c r="J229" s="8" t="s">
        <v>216</v>
      </c>
      <c r="K229" s="8" t="s">
        <v>27</v>
      </c>
      <c r="L229" s="8" t="s">
        <v>27</v>
      </c>
      <c r="M229" s="8" t="s">
        <v>26</v>
      </c>
      <c r="N229" s="8" t="s">
        <v>26</v>
      </c>
      <c r="O229" s="8" t="s">
        <v>26</v>
      </c>
      <c r="P229" s="8" t="s">
        <v>27</v>
      </c>
    </row>
    <row r="230" spans="1:16" x14ac:dyDescent="0.25">
      <c r="A230" s="8" t="s">
        <v>1914</v>
      </c>
      <c r="B230" s="8" t="s">
        <v>2321</v>
      </c>
      <c r="C230" s="8" t="s">
        <v>2322</v>
      </c>
      <c r="D230" s="29" t="s">
        <v>1917</v>
      </c>
      <c r="E230" s="8" t="s">
        <v>24</v>
      </c>
      <c r="F230" s="8" t="s">
        <v>24</v>
      </c>
      <c r="G230" s="25">
        <v>30</v>
      </c>
      <c r="H230" s="27" t="str">
        <f>HYPERLINK("https://doc.morningstar.com/Document/f78ee5a4d6b43d29a682c5da29dbdbcb.msdoc?clientid=fnz&amp;key=9c0e4d166b60ffd3","TMD")</f>
        <v>TMD</v>
      </c>
      <c r="I230" s="8" t="s">
        <v>25</v>
      </c>
      <c r="J230" s="8" t="s">
        <v>216</v>
      </c>
      <c r="K230" s="8" t="s">
        <v>27</v>
      </c>
      <c r="L230" s="8" t="s">
        <v>27</v>
      </c>
      <c r="M230" s="8" t="s">
        <v>26</v>
      </c>
      <c r="N230" s="8" t="s">
        <v>26</v>
      </c>
      <c r="O230" s="8" t="s">
        <v>26</v>
      </c>
      <c r="P230" s="8" t="s">
        <v>27</v>
      </c>
    </row>
    <row r="231" spans="1:16" x14ac:dyDescent="0.25">
      <c r="A231" s="8" t="s">
        <v>1914</v>
      </c>
      <c r="B231" s="8" t="s">
        <v>2323</v>
      </c>
      <c r="C231" s="8" t="s">
        <v>2324</v>
      </c>
      <c r="D231" s="29" t="s">
        <v>1917</v>
      </c>
      <c r="E231" s="8" t="s">
        <v>195</v>
      </c>
      <c r="F231" s="8" t="s">
        <v>24</v>
      </c>
      <c r="G231" s="25">
        <v>30</v>
      </c>
      <c r="H231" s="27" t="str">
        <f>HYPERLINK("https://doc.morningstar.com/Document/f78ee5a4d6b43d2938c7248a79a264f9.msdoc?clientid=fnz&amp;key=9c0e4d166b60ffd3","TMD")</f>
        <v>TMD</v>
      </c>
      <c r="I231" s="8" t="s">
        <v>25</v>
      </c>
      <c r="J231" s="8" t="s">
        <v>216</v>
      </c>
      <c r="K231" s="8" t="s">
        <v>27</v>
      </c>
      <c r="L231" s="8" t="s">
        <v>27</v>
      </c>
      <c r="M231" s="8" t="s">
        <v>26</v>
      </c>
      <c r="N231" s="8" t="s">
        <v>26</v>
      </c>
      <c r="O231" s="8" t="s">
        <v>26</v>
      </c>
      <c r="P231" s="8" t="s">
        <v>27</v>
      </c>
    </row>
    <row r="232" spans="1:16" x14ac:dyDescent="0.25">
      <c r="A232" s="8" t="s">
        <v>1914</v>
      </c>
      <c r="B232" s="8" t="s">
        <v>2325</v>
      </c>
      <c r="C232" s="8" t="s">
        <v>2326</v>
      </c>
      <c r="D232" s="29" t="s">
        <v>1917</v>
      </c>
      <c r="E232" s="8" t="s">
        <v>24</v>
      </c>
      <c r="F232" s="8" t="s">
        <v>24</v>
      </c>
      <c r="G232" s="25">
        <v>100</v>
      </c>
      <c r="H232" s="27" t="str">
        <f>HYPERLINK("https://doc.morningstar.com/Document/2aad2fb697c580a0c2c2dcd435e9fc9e.msdoc?clientid=fnz&amp;key=9c0e4d166b60ffd3","TMD")</f>
        <v>TMD</v>
      </c>
      <c r="I232" s="8" t="s">
        <v>25</v>
      </c>
      <c r="J232" s="8" t="s">
        <v>216</v>
      </c>
      <c r="K232" s="8" t="s">
        <v>27</v>
      </c>
      <c r="L232" s="8" t="s">
        <v>27</v>
      </c>
      <c r="M232" s="8" t="s">
        <v>26</v>
      </c>
      <c r="N232" s="8" t="s">
        <v>26</v>
      </c>
      <c r="O232" s="8" t="s">
        <v>27</v>
      </c>
      <c r="P232" s="8" t="s">
        <v>216</v>
      </c>
    </row>
    <row r="233" spans="1:16" x14ac:dyDescent="0.25">
      <c r="A233" s="8" t="s">
        <v>1914</v>
      </c>
      <c r="B233" s="8" t="s">
        <v>2327</v>
      </c>
      <c r="C233" s="8" t="s">
        <v>2328</v>
      </c>
      <c r="D233" s="29" t="s">
        <v>1917</v>
      </c>
      <c r="E233" s="8" t="s">
        <v>24</v>
      </c>
      <c r="F233" s="8" t="s">
        <v>24</v>
      </c>
      <c r="G233" s="25"/>
      <c r="H233" s="27" t="str">
        <f>HYPERLINK("https://doc.morningstar.com/Document/2a9e517c834cbaf845aef5c51c49b889.msdoc?clientid=fnz&amp;key=9c0e4d166b60ffd3","TMD")</f>
        <v>TMD</v>
      </c>
      <c r="I233" s="8" t="s">
        <v>25</v>
      </c>
      <c r="J233" s="8" t="s">
        <v>216</v>
      </c>
      <c r="K233" s="8" t="s">
        <v>27</v>
      </c>
      <c r="L233" s="8" t="s">
        <v>27</v>
      </c>
      <c r="M233" s="8" t="s">
        <v>26</v>
      </c>
      <c r="N233" s="8" t="s">
        <v>26</v>
      </c>
      <c r="O233" s="8" t="s">
        <v>26</v>
      </c>
      <c r="P233" s="8" t="s">
        <v>27</v>
      </c>
    </row>
    <row r="234" spans="1:16" x14ac:dyDescent="0.25">
      <c r="A234" s="8" t="s">
        <v>1914</v>
      </c>
      <c r="B234" s="8" t="s">
        <v>2329</v>
      </c>
      <c r="C234" s="8" t="s">
        <v>2330</v>
      </c>
      <c r="D234" s="29" t="s">
        <v>1917</v>
      </c>
      <c r="E234" s="8" t="s">
        <v>24</v>
      </c>
      <c r="F234" s="8" t="s">
        <v>24</v>
      </c>
      <c r="G234" s="25">
        <v>30</v>
      </c>
      <c r="H234" s="27" t="str">
        <f>HYPERLINK("https://doc.morningstar.com/Document/c12a6aa6b8777ec5b4f0b1c1cf8cce08.msdoc?clientid=fnz&amp;key=9c0e4d166b60ffd3","TMD")</f>
        <v>TMD</v>
      </c>
      <c r="I234" s="8" t="s">
        <v>25</v>
      </c>
      <c r="J234" s="8" t="s">
        <v>216</v>
      </c>
      <c r="K234" s="8" t="s">
        <v>27</v>
      </c>
      <c r="L234" s="8" t="s">
        <v>27</v>
      </c>
      <c r="M234" s="8" t="s">
        <v>26</v>
      </c>
      <c r="N234" s="8" t="s">
        <v>26</v>
      </c>
      <c r="O234" s="8" t="s">
        <v>26</v>
      </c>
      <c r="P234" s="8" t="s">
        <v>27</v>
      </c>
    </row>
    <row r="235" spans="1:16" x14ac:dyDescent="0.25">
      <c r="A235" s="8" t="s">
        <v>1914</v>
      </c>
      <c r="B235" s="8" t="s">
        <v>2331</v>
      </c>
      <c r="C235" s="8" t="s">
        <v>2332</v>
      </c>
      <c r="D235" s="29" t="s">
        <v>1917</v>
      </c>
      <c r="E235" s="8" t="s">
        <v>24</v>
      </c>
      <c r="F235" s="8" t="s">
        <v>24</v>
      </c>
      <c r="G235" s="25"/>
      <c r="H235" s="27" t="str">
        <f>HYPERLINK("https://doc.morningstar.com/Document/0b3b18ef4b2b25ca4f5ea8e8d4221365.msdoc?clientid=fnz&amp;key=9c0e4d166b60ffd3","TMD")</f>
        <v>TMD</v>
      </c>
      <c r="I235" s="8" t="s">
        <v>25</v>
      </c>
      <c r="J235" s="8" t="s">
        <v>25</v>
      </c>
      <c r="K235" s="8" t="s">
        <v>25</v>
      </c>
      <c r="L235" s="8" t="s">
        <v>25</v>
      </c>
      <c r="M235" s="8" t="s">
        <v>26</v>
      </c>
      <c r="N235" s="8" t="s">
        <v>26</v>
      </c>
      <c r="O235" s="8" t="s">
        <v>27</v>
      </c>
      <c r="P235" s="8" t="s">
        <v>26</v>
      </c>
    </row>
    <row r="236" spans="1:16" x14ac:dyDescent="0.25">
      <c r="A236" s="8" t="s">
        <v>1914</v>
      </c>
      <c r="B236" s="8" t="s">
        <v>2333</v>
      </c>
      <c r="C236" s="8" t="s">
        <v>2334</v>
      </c>
      <c r="D236" s="29" t="s">
        <v>1917</v>
      </c>
      <c r="E236" s="8" t="s">
        <v>195</v>
      </c>
      <c r="F236" s="8" t="s">
        <v>24</v>
      </c>
      <c r="G236" s="25"/>
      <c r="H236" s="27" t="str">
        <f>HYPERLINK("https://doc.morningstar.com/Document/b82015ba20351d05cf78b4cdf3f1fd9e.msdoc?clientid=fnz&amp;key=9c0e4d166b60ffd3","TMD")</f>
        <v>TMD</v>
      </c>
      <c r="I236" s="8" t="s">
        <v>25</v>
      </c>
      <c r="J236" s="8" t="s">
        <v>25</v>
      </c>
      <c r="K236" s="8" t="s">
        <v>25</v>
      </c>
      <c r="L236" s="8" t="s">
        <v>25</v>
      </c>
      <c r="M236" s="8" t="s">
        <v>26</v>
      </c>
      <c r="N236" s="8" t="s">
        <v>26</v>
      </c>
      <c r="O236" s="8" t="s">
        <v>26</v>
      </c>
      <c r="P236" s="8" t="s">
        <v>27</v>
      </c>
    </row>
    <row r="237" spans="1:16" x14ac:dyDescent="0.25">
      <c r="A237" s="8" t="s">
        <v>1914</v>
      </c>
      <c r="B237" s="8" t="s">
        <v>2335</v>
      </c>
      <c r="C237" s="8" t="s">
        <v>2336</v>
      </c>
      <c r="D237" s="29" t="s">
        <v>1917</v>
      </c>
      <c r="E237" s="8" t="s">
        <v>24</v>
      </c>
      <c r="F237" s="8" t="s">
        <v>24</v>
      </c>
      <c r="G237" s="25">
        <v>100</v>
      </c>
      <c r="H237" s="27" t="str">
        <f>HYPERLINK("https://doc.morningstar.com/Document/5eb74fabdaae514d4e9aac60ce137f3f.msdoc?clientid=fnz&amp;key=9c0e4d166b60ffd3","TMD")</f>
        <v>TMD</v>
      </c>
      <c r="I237" s="8" t="s">
        <v>25</v>
      </c>
      <c r="J237" s="8" t="s">
        <v>216</v>
      </c>
      <c r="K237" s="8" t="s">
        <v>27</v>
      </c>
      <c r="L237" s="8" t="s">
        <v>27</v>
      </c>
      <c r="M237" s="8" t="s">
        <v>26</v>
      </c>
      <c r="N237" s="8" t="s">
        <v>26</v>
      </c>
      <c r="O237" s="8" t="s">
        <v>27</v>
      </c>
      <c r="P237" s="8" t="s">
        <v>216</v>
      </c>
    </row>
    <row r="238" spans="1:16" x14ac:dyDescent="0.25">
      <c r="A238" s="8" t="s">
        <v>1914</v>
      </c>
      <c r="B238" s="8" t="s">
        <v>2337</v>
      </c>
      <c r="C238" s="8" t="s">
        <v>2338</v>
      </c>
      <c r="D238" s="29" t="s">
        <v>1917</v>
      </c>
      <c r="E238" s="8" t="s">
        <v>24</v>
      </c>
      <c r="F238" s="8" t="s">
        <v>24</v>
      </c>
      <c r="G238" s="25">
        <v>100</v>
      </c>
      <c r="H238" s="27" t="str">
        <f>HYPERLINK("https://doc.morningstar.com/Document/21cc8aa3ee4e9e0819e829bcb306ff55.msdoc?clientid=fnz&amp;key=9c0e4d166b60ffd3","TMD")</f>
        <v>TMD</v>
      </c>
      <c r="I238" s="8" t="s">
        <v>25</v>
      </c>
      <c r="J238" s="8" t="s">
        <v>216</v>
      </c>
      <c r="K238" s="8" t="s">
        <v>27</v>
      </c>
      <c r="L238" s="8" t="s">
        <v>27</v>
      </c>
      <c r="M238" s="8" t="s">
        <v>26</v>
      </c>
      <c r="N238" s="8" t="s">
        <v>26</v>
      </c>
      <c r="O238" s="8" t="s">
        <v>26</v>
      </c>
      <c r="P238" s="8" t="s">
        <v>27</v>
      </c>
    </row>
    <row r="239" spans="1:16" x14ac:dyDescent="0.25">
      <c r="A239" s="8" t="s">
        <v>1914</v>
      </c>
      <c r="B239" s="8" t="s">
        <v>2339</v>
      </c>
      <c r="C239" s="8" t="s">
        <v>2340</v>
      </c>
      <c r="D239" s="29" t="s">
        <v>1917</v>
      </c>
      <c r="E239" s="8" t="s">
        <v>195</v>
      </c>
      <c r="F239" s="8" t="s">
        <v>24</v>
      </c>
      <c r="G239" s="25"/>
      <c r="H239" s="27" t="str">
        <f>HYPERLINK("https://doc.morningstar.com/Document/6cf811ee29612cb700a5844156149f14.msdoc?clientid=fnz&amp;key=9c0e4d166b60ffd3","TMD")</f>
        <v>TMD</v>
      </c>
      <c r="I239" s="8" t="s">
        <v>25</v>
      </c>
      <c r="J239" s="8" t="s">
        <v>216</v>
      </c>
      <c r="K239" s="8" t="s">
        <v>27</v>
      </c>
      <c r="L239" s="8" t="s">
        <v>27</v>
      </c>
      <c r="M239" s="8" t="s">
        <v>26</v>
      </c>
      <c r="N239" s="8" t="s">
        <v>26</v>
      </c>
      <c r="O239" s="8" t="s">
        <v>26</v>
      </c>
      <c r="P239" s="8" t="s">
        <v>27</v>
      </c>
    </row>
    <row r="240" spans="1:16" x14ac:dyDescent="0.25">
      <c r="A240" s="8" t="s">
        <v>1914</v>
      </c>
      <c r="B240" s="8" t="s">
        <v>2341</v>
      </c>
      <c r="C240" s="8" t="s">
        <v>2342</v>
      </c>
      <c r="D240" s="29" t="s">
        <v>1917</v>
      </c>
      <c r="E240" s="8" t="s">
        <v>24</v>
      </c>
      <c r="F240" s="8" t="s">
        <v>24</v>
      </c>
      <c r="G240" s="25">
        <v>30</v>
      </c>
      <c r="H240" s="27" t="str">
        <f>HYPERLINK("https://doc.morningstar.com/Document/e1a3a31d2421aa8a16ecd3035ee7de9f.msdoc?clientid=fnz&amp;key=9c0e4d166b60ffd3","TMD")</f>
        <v>TMD</v>
      </c>
      <c r="I240" s="8" t="s">
        <v>25</v>
      </c>
      <c r="J240" s="8" t="s">
        <v>216</v>
      </c>
      <c r="K240" s="8" t="s">
        <v>216</v>
      </c>
      <c r="L240" s="8" t="s">
        <v>27</v>
      </c>
      <c r="M240" s="8" t="s">
        <v>26</v>
      </c>
      <c r="N240" s="8" t="s">
        <v>26</v>
      </c>
      <c r="O240" s="8" t="s">
        <v>26</v>
      </c>
      <c r="P240" s="8" t="s">
        <v>27</v>
      </c>
    </row>
    <row r="241" spans="1:16" x14ac:dyDescent="0.25">
      <c r="A241" s="8" t="s">
        <v>1914</v>
      </c>
      <c r="B241" s="8" t="s">
        <v>2343</v>
      </c>
      <c r="C241" s="8" t="s">
        <v>2344</v>
      </c>
      <c r="D241" s="29" t="s">
        <v>1917</v>
      </c>
      <c r="E241" s="8" t="s">
        <v>24</v>
      </c>
      <c r="F241" s="8" t="s">
        <v>24</v>
      </c>
      <c r="G241" s="25"/>
      <c r="H241" s="27" t="str">
        <f>HYPERLINK("https://doc.morningstar.com/Document/ef4e6642779e046c33a2ed292a782e83.msdoc?clientid=fnz&amp;key=9c0e4d166b60ffd3","TMD")</f>
        <v>TMD</v>
      </c>
      <c r="I241" s="8" t="s">
        <v>25</v>
      </c>
      <c r="J241" s="8" t="s">
        <v>216</v>
      </c>
      <c r="K241" s="8" t="s">
        <v>27</v>
      </c>
      <c r="L241" s="8" t="s">
        <v>27</v>
      </c>
      <c r="M241" s="8" t="s">
        <v>26</v>
      </c>
      <c r="N241" s="8" t="s">
        <v>26</v>
      </c>
      <c r="O241" s="8" t="s">
        <v>26</v>
      </c>
      <c r="P241" s="8" t="s">
        <v>27</v>
      </c>
    </row>
    <row r="242" spans="1:16" x14ac:dyDescent="0.25">
      <c r="A242" s="8" t="s">
        <v>1914</v>
      </c>
      <c r="B242" s="8" t="s">
        <v>2345</v>
      </c>
      <c r="C242" s="8" t="s">
        <v>2346</v>
      </c>
      <c r="D242" s="29" t="s">
        <v>1917</v>
      </c>
      <c r="E242" s="8" t="s">
        <v>24</v>
      </c>
      <c r="F242" s="8" t="s">
        <v>24</v>
      </c>
      <c r="G242" s="25"/>
      <c r="H242" s="27" t="str">
        <f>HYPERLINK("https://doc.morningstar.com/Document/52589dbfdc08b51a34fbb27f37d1b0a5.msdoc?clientid=fnz&amp;key=9c0e4d166b60ffd3","TMD")</f>
        <v>TMD</v>
      </c>
      <c r="I242" s="8" t="s">
        <v>25</v>
      </c>
      <c r="J242" s="8" t="s">
        <v>25</v>
      </c>
      <c r="K242" s="8" t="s">
        <v>25</v>
      </c>
      <c r="L242" s="8" t="s">
        <v>25</v>
      </c>
      <c r="M242" s="8" t="s">
        <v>26</v>
      </c>
      <c r="N242" s="8" t="s">
        <v>27</v>
      </c>
      <c r="O242" s="8" t="s">
        <v>26</v>
      </c>
      <c r="P242" s="8" t="s">
        <v>26</v>
      </c>
    </row>
    <row r="243" spans="1:16" x14ac:dyDescent="0.25">
      <c r="A243" s="8" t="s">
        <v>1914</v>
      </c>
      <c r="B243" s="8" t="s">
        <v>2347</v>
      </c>
      <c r="C243" s="8" t="s">
        <v>2348</v>
      </c>
      <c r="D243" s="29" t="s">
        <v>1917</v>
      </c>
      <c r="E243" s="8" t="s">
        <v>24</v>
      </c>
      <c r="F243" s="8" t="s">
        <v>24</v>
      </c>
      <c r="G243" s="25"/>
      <c r="H243" s="27" t="str">
        <f>HYPERLINK("https://doc.morningstar.com/Document/f78ee5a4d6b43d2993e281bb5c41bd18.msdoc?clientid=fnz&amp;key=9c0e4d166b60ffd3","TMD")</f>
        <v>TMD</v>
      </c>
      <c r="I243" s="8" t="s">
        <v>25</v>
      </c>
      <c r="J243" s="8" t="s">
        <v>216</v>
      </c>
      <c r="K243" s="8" t="s">
        <v>27</v>
      </c>
      <c r="L243" s="8" t="s">
        <v>27</v>
      </c>
      <c r="M243" s="8" t="s">
        <v>26</v>
      </c>
      <c r="N243" s="8" t="s">
        <v>26</v>
      </c>
      <c r="O243" s="8" t="s">
        <v>26</v>
      </c>
      <c r="P243" s="8" t="s">
        <v>27</v>
      </c>
    </row>
    <row r="244" spans="1:16" x14ac:dyDescent="0.25">
      <c r="A244" s="8" t="s">
        <v>1914</v>
      </c>
      <c r="B244" s="8" t="s">
        <v>2349</v>
      </c>
      <c r="C244" s="8" t="s">
        <v>2350</v>
      </c>
      <c r="D244" s="29" t="s">
        <v>1917</v>
      </c>
      <c r="E244" s="8" t="s">
        <v>24</v>
      </c>
      <c r="F244" s="8" t="s">
        <v>24</v>
      </c>
      <c r="G244" s="25">
        <v>100</v>
      </c>
      <c r="H244" s="27" t="str">
        <f>HYPERLINK("https://doc.morningstar.com/Document/9a60588dd887adbc49f46ce00d16ae45.msdoc?clientid=fnz&amp;key=9c0e4d166b60ffd3","TMD")</f>
        <v>TMD</v>
      </c>
      <c r="I244" s="8" t="s">
        <v>25</v>
      </c>
      <c r="J244" s="8" t="s">
        <v>216</v>
      </c>
      <c r="K244" s="8" t="s">
        <v>27</v>
      </c>
      <c r="L244" s="8" t="s">
        <v>27</v>
      </c>
      <c r="M244" s="8" t="s">
        <v>26</v>
      </c>
      <c r="N244" s="8" t="s">
        <v>26</v>
      </c>
      <c r="O244" s="8" t="s">
        <v>27</v>
      </c>
      <c r="P244" s="8" t="s">
        <v>216</v>
      </c>
    </row>
    <row r="245" spans="1:16" x14ac:dyDescent="0.25">
      <c r="A245" s="8" t="s">
        <v>1914</v>
      </c>
      <c r="B245" s="8" t="s">
        <v>2351</v>
      </c>
      <c r="C245" s="8" t="s">
        <v>2352</v>
      </c>
      <c r="D245" s="29" t="s">
        <v>1917</v>
      </c>
      <c r="E245" s="8" t="s">
        <v>24</v>
      </c>
      <c r="F245" s="8" t="s">
        <v>24</v>
      </c>
      <c r="G245" s="25">
        <v>100</v>
      </c>
      <c r="H245" s="27" t="str">
        <f>HYPERLINK("https://doc.morningstar.com/Document/1043096ecb78c5a8d5cd834a107035e1.msdoc?clientid=fnz&amp;key=9c0e4d166b60ffd3","TMD")</f>
        <v>TMD</v>
      </c>
      <c r="I245" s="8" t="s">
        <v>25</v>
      </c>
      <c r="J245" s="8" t="s">
        <v>216</v>
      </c>
      <c r="K245" s="8" t="s">
        <v>27</v>
      </c>
      <c r="L245" s="8" t="s">
        <v>27</v>
      </c>
      <c r="M245" s="8" t="s">
        <v>26</v>
      </c>
      <c r="N245" s="8" t="s">
        <v>26</v>
      </c>
      <c r="O245" s="8" t="s">
        <v>27</v>
      </c>
      <c r="P245" s="8" t="s">
        <v>216</v>
      </c>
    </row>
    <row r="246" spans="1:16" x14ac:dyDescent="0.25">
      <c r="A246" s="8" t="s">
        <v>1914</v>
      </c>
      <c r="B246" s="8" t="s">
        <v>2353</v>
      </c>
      <c r="C246" s="8" t="s">
        <v>2354</v>
      </c>
      <c r="D246" s="29" t="s">
        <v>1917</v>
      </c>
      <c r="E246" s="8" t="s">
        <v>195</v>
      </c>
      <c r="F246" s="8" t="s">
        <v>24</v>
      </c>
      <c r="G246" s="25"/>
      <c r="H246" s="27" t="str">
        <f>HYPERLINK("https://doc.morningstar.com/Document/d5429b15b20a8d276dfe1d0139d69309.msdoc?clientid=fnz&amp;key=9c0e4d166b60ffd3","TMD")</f>
        <v>TMD</v>
      </c>
      <c r="I246" s="8" t="s">
        <v>25</v>
      </c>
      <c r="J246" s="8" t="s">
        <v>25</v>
      </c>
      <c r="K246" s="8" t="s">
        <v>25</v>
      </c>
      <c r="L246" s="8" t="s">
        <v>25</v>
      </c>
      <c r="M246" s="8" t="s">
        <v>26</v>
      </c>
      <c r="N246" s="8" t="s">
        <v>26</v>
      </c>
      <c r="O246" s="8" t="s">
        <v>27</v>
      </c>
      <c r="P246" s="8" t="s">
        <v>26</v>
      </c>
    </row>
    <row r="247" spans="1:16" x14ac:dyDescent="0.25">
      <c r="A247" s="8" t="s">
        <v>1914</v>
      </c>
      <c r="B247" s="8" t="s">
        <v>2355</v>
      </c>
      <c r="C247" s="8" t="s">
        <v>2356</v>
      </c>
      <c r="D247" s="29" t="s">
        <v>1917</v>
      </c>
      <c r="E247" s="8" t="s">
        <v>24</v>
      </c>
      <c r="F247" s="8" t="s">
        <v>24</v>
      </c>
      <c r="G247" s="25">
        <v>30</v>
      </c>
      <c r="H247" s="27" t="str">
        <f>HYPERLINK("https://doc.morningstar.com/Document/6840b6d6933d25408049e296341f8903.msdoc?clientid=fnz&amp;key=9c0e4d166b60ffd3","TMD")</f>
        <v>TMD</v>
      </c>
      <c r="I247" s="8" t="s">
        <v>25</v>
      </c>
      <c r="J247" s="8" t="s">
        <v>216</v>
      </c>
      <c r="K247" s="8" t="s">
        <v>27</v>
      </c>
      <c r="L247" s="8" t="s">
        <v>27</v>
      </c>
      <c r="M247" s="8" t="s">
        <v>26</v>
      </c>
      <c r="N247" s="8" t="s">
        <v>26</v>
      </c>
      <c r="O247" s="8" t="s">
        <v>26</v>
      </c>
      <c r="P247" s="8" t="s">
        <v>27</v>
      </c>
    </row>
    <row r="248" spans="1:16" x14ac:dyDescent="0.25">
      <c r="A248" s="8" t="s">
        <v>1914</v>
      </c>
      <c r="B248" s="8" t="s">
        <v>2357</v>
      </c>
      <c r="C248" s="8" t="s">
        <v>2358</v>
      </c>
      <c r="D248" s="29" t="s">
        <v>1917</v>
      </c>
      <c r="E248" s="8" t="s">
        <v>24</v>
      </c>
      <c r="F248" s="8" t="s">
        <v>24</v>
      </c>
      <c r="G248" s="25">
        <v>100</v>
      </c>
      <c r="H248" s="27" t="str">
        <f>HYPERLINK("https://doc.morningstar.com/Document/2a9e517c834cbaf813b2b921a578ba40.msdoc?clientid=fnz&amp;key=9c0e4d166b60ffd3","TMD")</f>
        <v>TMD</v>
      </c>
      <c r="I248" s="8" t="s">
        <v>25</v>
      </c>
      <c r="J248" s="8" t="s">
        <v>216</v>
      </c>
      <c r="K248" s="8" t="s">
        <v>27</v>
      </c>
      <c r="L248" s="8" t="s">
        <v>27</v>
      </c>
      <c r="M248" s="8" t="s">
        <v>26</v>
      </c>
      <c r="N248" s="8" t="s">
        <v>26</v>
      </c>
      <c r="O248" s="8" t="s">
        <v>26</v>
      </c>
      <c r="P248" s="8" t="s">
        <v>27</v>
      </c>
    </row>
    <row r="249" spans="1:16" x14ac:dyDescent="0.25">
      <c r="A249" s="8" t="s">
        <v>1914</v>
      </c>
      <c r="B249" s="8" t="s">
        <v>2359</v>
      </c>
      <c r="C249" s="8" t="s">
        <v>2360</v>
      </c>
      <c r="D249" s="29" t="s">
        <v>1917</v>
      </c>
      <c r="E249" s="8" t="s">
        <v>195</v>
      </c>
      <c r="F249" s="8" t="s">
        <v>24</v>
      </c>
      <c r="G249" s="25"/>
      <c r="H249" s="27" t="str">
        <f>HYPERLINK("https://doc.morningstar.com/Document/e1a3a31d2421aa8ad84601fedca4a075.msdoc?clientid=fnz&amp;key=9c0e4d166b60ffd3","TMD")</f>
        <v>TMD</v>
      </c>
      <c r="I249" s="8" t="s">
        <v>25</v>
      </c>
      <c r="J249" s="8" t="s">
        <v>25</v>
      </c>
      <c r="K249" s="8" t="s">
        <v>25</v>
      </c>
      <c r="L249" s="8" t="s">
        <v>25</v>
      </c>
      <c r="M249" s="8" t="s">
        <v>26</v>
      </c>
      <c r="N249" s="8" t="s">
        <v>26</v>
      </c>
      <c r="O249" s="8" t="s">
        <v>26</v>
      </c>
      <c r="P249" s="8" t="s">
        <v>27</v>
      </c>
    </row>
    <row r="250" spans="1:16" x14ac:dyDescent="0.25">
      <c r="A250" s="8" t="s">
        <v>1914</v>
      </c>
      <c r="B250" s="8" t="s">
        <v>2361</v>
      </c>
      <c r="C250" s="8" t="s">
        <v>2362</v>
      </c>
      <c r="D250" s="29" t="s">
        <v>1917</v>
      </c>
      <c r="E250" s="8" t="s">
        <v>195</v>
      </c>
      <c r="F250" s="8" t="s">
        <v>24</v>
      </c>
      <c r="G250" s="25"/>
      <c r="H250" s="27" t="str">
        <f>HYPERLINK("https://doc.morningstar.com/Document/6d31af5b8bd68b31352116dcb0bb87e6.msdoc?clientid=fnz&amp;key=9c0e4d166b60ffd3","TMD")</f>
        <v>TMD</v>
      </c>
      <c r="I250" s="8" t="s">
        <v>25</v>
      </c>
      <c r="J250" s="8" t="s">
        <v>25</v>
      </c>
      <c r="K250" s="8" t="s">
        <v>25</v>
      </c>
      <c r="L250" s="8" t="s">
        <v>25</v>
      </c>
      <c r="M250" s="8" t="s">
        <v>26</v>
      </c>
      <c r="N250" s="8" t="s">
        <v>26</v>
      </c>
      <c r="O250" s="8" t="s">
        <v>26</v>
      </c>
      <c r="P250" s="8" t="s">
        <v>27</v>
      </c>
    </row>
    <row r="251" spans="1:16" x14ac:dyDescent="0.25">
      <c r="A251" s="8" t="s">
        <v>1914</v>
      </c>
      <c r="B251" s="8" t="s">
        <v>2363</v>
      </c>
      <c r="C251" s="8" t="s">
        <v>2364</v>
      </c>
      <c r="D251" s="29" t="s">
        <v>1917</v>
      </c>
      <c r="E251" s="8" t="s">
        <v>24</v>
      </c>
      <c r="F251" s="8" t="s">
        <v>24</v>
      </c>
      <c r="G251" s="25">
        <v>30</v>
      </c>
      <c r="H251" s="27" t="str">
        <f>HYPERLINK("https://doc.morningstar.com/Document/34f45254ab39e6cb3cc65c27eadbd4f4.msdoc?clientid=fnz&amp;key=9c0e4d166b60ffd3","TMD")</f>
        <v>TMD</v>
      </c>
      <c r="I251" s="8" t="s">
        <v>25</v>
      </c>
      <c r="J251" s="8" t="s">
        <v>216</v>
      </c>
      <c r="K251" s="8" t="s">
        <v>27</v>
      </c>
      <c r="L251" s="8" t="s">
        <v>27</v>
      </c>
      <c r="M251" s="8" t="s">
        <v>26</v>
      </c>
      <c r="N251" s="8" t="s">
        <v>26</v>
      </c>
      <c r="O251" s="8" t="s">
        <v>27</v>
      </c>
      <c r="P251" s="8" t="s">
        <v>216</v>
      </c>
    </row>
    <row r="252" spans="1:16" x14ac:dyDescent="0.25">
      <c r="A252" s="8" t="s">
        <v>1914</v>
      </c>
      <c r="B252" s="8" t="s">
        <v>2365</v>
      </c>
      <c r="C252" s="8" t="s">
        <v>2366</v>
      </c>
      <c r="D252" s="29" t="s">
        <v>1917</v>
      </c>
      <c r="E252" s="8" t="s">
        <v>24</v>
      </c>
      <c r="F252" s="8" t="s">
        <v>24</v>
      </c>
      <c r="G252" s="25">
        <v>100</v>
      </c>
      <c r="H252" s="27" t="str">
        <f>HYPERLINK("https://doc.morningstar.com/Document/46213006f5c09cca76a349e07fa84bbe.msdoc?clientid=fnz&amp;key=9c0e4d166b60ffd3","TMD")</f>
        <v>TMD</v>
      </c>
      <c r="I252" s="8" t="s">
        <v>25</v>
      </c>
      <c r="J252" s="8" t="s">
        <v>216</v>
      </c>
      <c r="K252" s="8" t="s">
        <v>27</v>
      </c>
      <c r="L252" s="8" t="s">
        <v>27</v>
      </c>
      <c r="M252" s="8" t="s">
        <v>26</v>
      </c>
      <c r="N252" s="8" t="s">
        <v>26</v>
      </c>
      <c r="O252" s="8" t="s">
        <v>27</v>
      </c>
      <c r="P252" s="8" t="s">
        <v>216</v>
      </c>
    </row>
    <row r="253" spans="1:16" x14ac:dyDescent="0.25">
      <c r="A253" s="8" t="s">
        <v>1914</v>
      </c>
      <c r="B253" s="8" t="s">
        <v>2367</v>
      </c>
      <c r="C253" s="8" t="s">
        <v>2368</v>
      </c>
      <c r="D253" s="29" t="s">
        <v>1917</v>
      </c>
      <c r="E253" s="8" t="s">
        <v>24</v>
      </c>
      <c r="F253" s="8" t="s">
        <v>24</v>
      </c>
      <c r="G253" s="25"/>
      <c r="H253" s="27" t="str">
        <f>HYPERLINK("https://doc.morningstar.com/Document/15b8e067918a795a4ffa4ab41aece7a5.msdoc?clientid=fnz&amp;key=9c0e4d166b60ffd3","TMD")</f>
        <v>TMD</v>
      </c>
      <c r="I253" s="8" t="s">
        <v>25</v>
      </c>
      <c r="J253" s="8" t="s">
        <v>216</v>
      </c>
      <c r="K253" s="8" t="s">
        <v>27</v>
      </c>
      <c r="L253" s="8" t="s">
        <v>27</v>
      </c>
      <c r="M253" s="8" t="s">
        <v>26</v>
      </c>
      <c r="N253" s="8" t="s">
        <v>26</v>
      </c>
      <c r="O253" s="8" t="s">
        <v>26</v>
      </c>
      <c r="P253" s="8" t="s">
        <v>27</v>
      </c>
    </row>
    <row r="254" spans="1:16" x14ac:dyDescent="0.25">
      <c r="A254" s="8" t="s">
        <v>1914</v>
      </c>
      <c r="B254" s="8" t="s">
        <v>2369</v>
      </c>
      <c r="C254" s="8" t="s">
        <v>2370</v>
      </c>
      <c r="D254" s="29" t="s">
        <v>1917</v>
      </c>
      <c r="E254" s="8" t="s">
        <v>195</v>
      </c>
      <c r="F254" s="8" t="s">
        <v>24</v>
      </c>
      <c r="G254" s="25"/>
      <c r="H254" s="27" t="str">
        <f>HYPERLINK("https://doc.morningstar.com/Document/2c289bc09f18462401c37c0b04e86149.msdoc?clientid=fnz&amp;key=9c0e4d166b60ffd3","TMD")</f>
        <v>TMD</v>
      </c>
      <c r="I254" s="8" t="s">
        <v>25</v>
      </c>
      <c r="J254" s="8" t="s">
        <v>27</v>
      </c>
      <c r="K254" s="8" t="s">
        <v>26</v>
      </c>
      <c r="L254" s="8" t="s">
        <v>26</v>
      </c>
      <c r="M254" s="8" t="s">
        <v>26</v>
      </c>
      <c r="N254" s="8" t="s">
        <v>26</v>
      </c>
      <c r="O254" s="8" t="s">
        <v>26</v>
      </c>
      <c r="P254" s="8" t="s">
        <v>27</v>
      </c>
    </row>
    <row r="255" spans="1:16" x14ac:dyDescent="0.25">
      <c r="A255" s="8" t="s">
        <v>1914</v>
      </c>
      <c r="B255" s="8" t="s">
        <v>2371</v>
      </c>
      <c r="C255" s="8" t="s">
        <v>2372</v>
      </c>
      <c r="D255" s="29" t="s">
        <v>1917</v>
      </c>
      <c r="E255" s="8" t="s">
        <v>24</v>
      </c>
      <c r="F255" s="8" t="s">
        <v>24</v>
      </c>
      <c r="G255" s="25">
        <v>100</v>
      </c>
      <c r="H255" s="27" t="str">
        <f>HYPERLINK("https://doc.morningstar.com/Document/c7099ed307fa2d502a6908a667458670.msdoc?clientid=fnz&amp;key=9c0e4d166b60ffd3","TMD")</f>
        <v>TMD</v>
      </c>
      <c r="I255" s="8" t="s">
        <v>25</v>
      </c>
      <c r="J255" s="8" t="s">
        <v>216</v>
      </c>
      <c r="K255" s="8" t="s">
        <v>27</v>
      </c>
      <c r="L255" s="8" t="s">
        <v>27</v>
      </c>
      <c r="M255" s="8" t="s">
        <v>216</v>
      </c>
      <c r="N255" s="8" t="s">
        <v>27</v>
      </c>
      <c r="O255" s="8" t="s">
        <v>26</v>
      </c>
      <c r="P255" s="8" t="s">
        <v>26</v>
      </c>
    </row>
    <row r="256" spans="1:16" x14ac:dyDescent="0.25">
      <c r="A256" s="8" t="s">
        <v>1914</v>
      </c>
      <c r="B256" s="8" t="s">
        <v>2373</v>
      </c>
      <c r="C256" s="8" t="s">
        <v>2374</v>
      </c>
      <c r="D256" s="29" t="s">
        <v>1917</v>
      </c>
      <c r="E256" s="8" t="s">
        <v>24</v>
      </c>
      <c r="F256" s="8" t="s">
        <v>24</v>
      </c>
      <c r="G256" s="25">
        <v>100</v>
      </c>
      <c r="H256" s="27" t="str">
        <f>HYPERLINK("https://doc.morningstar.com/Document/bb07e4480e8453a4234e8c01987c9236.msdoc?clientid=fnz&amp;key=9c0e4d166b60ffd3","TMD")</f>
        <v>TMD</v>
      </c>
      <c r="I256" s="8" t="s">
        <v>25</v>
      </c>
      <c r="J256" s="8" t="s">
        <v>27</v>
      </c>
      <c r="K256" s="8" t="s">
        <v>27</v>
      </c>
      <c r="L256" s="8" t="s">
        <v>27</v>
      </c>
      <c r="M256" s="8" t="s">
        <v>26</v>
      </c>
      <c r="N256" s="8" t="s">
        <v>26</v>
      </c>
      <c r="O256" s="8" t="s">
        <v>216</v>
      </c>
      <c r="P256" s="8" t="s">
        <v>27</v>
      </c>
    </row>
    <row r="257" spans="1:16" x14ac:dyDescent="0.25">
      <c r="A257" s="8" t="s">
        <v>1914</v>
      </c>
      <c r="B257" s="8" t="s">
        <v>2375</v>
      </c>
      <c r="C257" s="8" t="s">
        <v>2376</v>
      </c>
      <c r="D257" s="29" t="s">
        <v>1917</v>
      </c>
      <c r="E257" s="8" t="s">
        <v>24</v>
      </c>
      <c r="F257" s="8" t="s">
        <v>24</v>
      </c>
      <c r="G257" s="25">
        <v>10</v>
      </c>
      <c r="H257" s="27" t="str">
        <f>HYPERLINK("https://doc.morningstar.com/Document/163dc749f2fe83094034724c3a623ba9.msdoc?clientid=fnz&amp;key=9c0e4d166b60ffd3","TMD")</f>
        <v>TMD</v>
      </c>
      <c r="I257" s="8" t="s">
        <v>25</v>
      </c>
      <c r="J257" s="8" t="s">
        <v>27</v>
      </c>
      <c r="K257" s="8" t="s">
        <v>26</v>
      </c>
      <c r="L257" s="8" t="s">
        <v>26</v>
      </c>
      <c r="M257" s="8" t="s">
        <v>26</v>
      </c>
      <c r="N257" s="8" t="s">
        <v>26</v>
      </c>
      <c r="O257" s="8" t="s">
        <v>26</v>
      </c>
      <c r="P257" s="8" t="s">
        <v>27</v>
      </c>
    </row>
    <row r="258" spans="1:16" x14ac:dyDescent="0.25">
      <c r="A258" s="8" t="s">
        <v>1914</v>
      </c>
      <c r="B258" s="8" t="s">
        <v>2377</v>
      </c>
      <c r="C258" s="8" t="s">
        <v>2378</v>
      </c>
      <c r="D258" s="29" t="s">
        <v>1917</v>
      </c>
      <c r="E258" s="8" t="s">
        <v>24</v>
      </c>
      <c r="F258" s="8" t="s">
        <v>24</v>
      </c>
      <c r="G258" s="25"/>
      <c r="H258" s="27" t="str">
        <f>HYPERLINK("https://doc.morningstar.com/Document/e1a3a31d2421aa8aa9427046e0c0b01b.msdoc?clientid=fnz&amp;key=9c0e4d166b60ffd3","TMD")</f>
        <v>TMD</v>
      </c>
      <c r="I258" s="8" t="s">
        <v>25</v>
      </c>
      <c r="J258" s="8" t="s">
        <v>216</v>
      </c>
      <c r="K258" s="8" t="s">
        <v>27</v>
      </c>
      <c r="L258" s="8" t="s">
        <v>27</v>
      </c>
      <c r="M258" s="8" t="s">
        <v>26</v>
      </c>
      <c r="N258" s="8" t="s">
        <v>216</v>
      </c>
      <c r="O258" s="8" t="s">
        <v>27</v>
      </c>
      <c r="P258" s="8" t="s">
        <v>216</v>
      </c>
    </row>
    <row r="259" spans="1:16" x14ac:dyDescent="0.25">
      <c r="A259" s="8" t="s">
        <v>1914</v>
      </c>
      <c r="B259" s="8" t="s">
        <v>2379</v>
      </c>
      <c r="C259" s="8" t="s">
        <v>2380</v>
      </c>
      <c r="D259" s="29" t="s">
        <v>1917</v>
      </c>
      <c r="E259" s="8" t="s">
        <v>195</v>
      </c>
      <c r="F259" s="8" t="s">
        <v>24</v>
      </c>
      <c r="G259" s="25"/>
      <c r="H259" s="27" t="str">
        <f>HYPERLINK("https://doc.morningstar.com/Document/828705f3656959438ab2ac1ebac97ebe.msdoc?clientid=fnz&amp;key=9c0e4d166b60ffd3","TMD")</f>
        <v>TMD</v>
      </c>
      <c r="I259" s="8" t="s">
        <v>25</v>
      </c>
      <c r="J259" s="8" t="s">
        <v>216</v>
      </c>
      <c r="K259" s="8" t="s">
        <v>27</v>
      </c>
      <c r="L259" s="8" t="s">
        <v>27</v>
      </c>
      <c r="M259" s="8" t="s">
        <v>26</v>
      </c>
      <c r="N259" s="8" t="s">
        <v>26</v>
      </c>
      <c r="O259" s="8" t="s">
        <v>26</v>
      </c>
      <c r="P259" s="8" t="s">
        <v>27</v>
      </c>
    </row>
    <row r="260" spans="1:16" x14ac:dyDescent="0.25">
      <c r="A260" s="8" t="s">
        <v>1914</v>
      </c>
      <c r="B260" s="8" t="s">
        <v>2381</v>
      </c>
      <c r="C260" s="8" t="s">
        <v>2382</v>
      </c>
      <c r="D260" s="29" t="s">
        <v>1917</v>
      </c>
      <c r="E260" s="8" t="s">
        <v>24</v>
      </c>
      <c r="F260" s="8" t="s">
        <v>24</v>
      </c>
      <c r="G260" s="25">
        <v>100</v>
      </c>
      <c r="H260" s="27" t="str">
        <f>HYPERLINK("https://doc.morningstar.com/Document/f4ac17518c17e6c69e035a3b4bdbf1a7.msdoc?clientid=fnz&amp;key=9c0e4d166b60ffd3","TMD")</f>
        <v>TMD</v>
      </c>
      <c r="I260" s="8" t="s">
        <v>25</v>
      </c>
      <c r="J260" s="8" t="s">
        <v>216</v>
      </c>
      <c r="K260" s="8" t="s">
        <v>27</v>
      </c>
      <c r="L260" s="8" t="s">
        <v>27</v>
      </c>
      <c r="M260" s="8" t="s">
        <v>216</v>
      </c>
      <c r="N260" s="8" t="s">
        <v>27</v>
      </c>
      <c r="O260" s="8" t="s">
        <v>26</v>
      </c>
      <c r="P260" s="8" t="s">
        <v>26</v>
      </c>
    </row>
    <row r="261" spans="1:16" x14ac:dyDescent="0.25">
      <c r="A261" s="8" t="s">
        <v>1874</v>
      </c>
      <c r="B261" s="8" t="s">
        <v>2383</v>
      </c>
      <c r="C261" s="8" t="s">
        <v>2384</v>
      </c>
      <c r="D261" s="29" t="s">
        <v>1877</v>
      </c>
      <c r="E261" s="8" t="s">
        <v>195</v>
      </c>
      <c r="F261" s="8" t="s">
        <v>24</v>
      </c>
      <c r="G261" s="25"/>
      <c r="H261" s="27"/>
      <c r="I261" s="8"/>
      <c r="J261" s="8"/>
      <c r="K261" s="8"/>
      <c r="L261" s="8"/>
      <c r="M261" s="8"/>
      <c r="N261" s="8"/>
      <c r="O261" s="8"/>
      <c r="P261" s="8"/>
    </row>
    <row r="262" spans="1:16" x14ac:dyDescent="0.25">
      <c r="A262" s="8" t="s">
        <v>1874</v>
      </c>
      <c r="B262" s="8" t="s">
        <v>2385</v>
      </c>
      <c r="C262" s="8" t="s">
        <v>2386</v>
      </c>
      <c r="D262" s="29" t="s">
        <v>1877</v>
      </c>
      <c r="E262" s="8" t="s">
        <v>195</v>
      </c>
      <c r="F262" s="8" t="s">
        <v>24</v>
      </c>
      <c r="G262" s="25"/>
      <c r="H262" s="27"/>
      <c r="I262" s="8"/>
      <c r="J262" s="8"/>
      <c r="K262" s="8"/>
      <c r="L262" s="8"/>
      <c r="M262" s="8"/>
      <c r="N262" s="8"/>
      <c r="O262" s="8"/>
      <c r="P262" s="8"/>
    </row>
    <row r="263" spans="1:16" x14ac:dyDescent="0.25">
      <c r="A263" s="8" t="s">
        <v>1874</v>
      </c>
      <c r="B263" s="8" t="s">
        <v>2387</v>
      </c>
      <c r="C263" s="8" t="s">
        <v>2388</v>
      </c>
      <c r="D263" s="29" t="s">
        <v>1877</v>
      </c>
      <c r="E263" s="8" t="s">
        <v>195</v>
      </c>
      <c r="F263" s="8" t="s">
        <v>24</v>
      </c>
      <c r="G263" s="25"/>
      <c r="H263" s="27"/>
      <c r="I263" s="8"/>
      <c r="J263" s="8"/>
      <c r="K263" s="8"/>
      <c r="L263" s="8"/>
      <c r="M263" s="8"/>
      <c r="N263" s="8"/>
      <c r="O263" s="8"/>
      <c r="P263" s="8"/>
    </row>
    <row r="264" spans="1:16" x14ac:dyDescent="0.25">
      <c r="A264" s="8" t="s">
        <v>1874</v>
      </c>
      <c r="B264" s="8" t="s">
        <v>2389</v>
      </c>
      <c r="C264" s="8" t="s">
        <v>2390</v>
      </c>
      <c r="D264" s="29" t="s">
        <v>1877</v>
      </c>
      <c r="E264" s="8" t="s">
        <v>24</v>
      </c>
      <c r="F264" s="8" t="s">
        <v>24</v>
      </c>
      <c r="G264" s="25"/>
      <c r="H264" s="27"/>
      <c r="I264" s="8"/>
      <c r="J264" s="8"/>
      <c r="K264" s="8"/>
      <c r="L264" s="8"/>
      <c r="M264" s="8"/>
      <c r="N264" s="8"/>
      <c r="O264" s="8"/>
      <c r="P264" s="8"/>
    </row>
    <row r="265" spans="1:16" x14ac:dyDescent="0.25">
      <c r="A265" s="8" t="s">
        <v>1874</v>
      </c>
      <c r="B265" s="8" t="s">
        <v>2391</v>
      </c>
      <c r="C265" s="8" t="s">
        <v>2392</v>
      </c>
      <c r="D265" s="29" t="s">
        <v>1877</v>
      </c>
      <c r="E265" s="8" t="s">
        <v>195</v>
      </c>
      <c r="F265" s="8" t="s">
        <v>24</v>
      </c>
      <c r="G265" s="25"/>
      <c r="H265" s="27"/>
      <c r="I265" s="8"/>
      <c r="J265" s="8"/>
      <c r="K265" s="8"/>
      <c r="L265" s="8"/>
      <c r="M265" s="8"/>
      <c r="N265" s="8"/>
      <c r="O265" s="8"/>
      <c r="P265" s="8"/>
    </row>
    <row r="266" spans="1:16" x14ac:dyDescent="0.25">
      <c r="A266" s="8" t="s">
        <v>1874</v>
      </c>
      <c r="B266" s="8" t="s">
        <v>2393</v>
      </c>
      <c r="C266" s="8" t="s">
        <v>2394</v>
      </c>
      <c r="D266" s="29" t="s">
        <v>1877</v>
      </c>
      <c r="E266" s="8" t="s">
        <v>195</v>
      </c>
      <c r="F266" s="8" t="s">
        <v>24</v>
      </c>
      <c r="G266" s="25"/>
      <c r="H266" s="27"/>
      <c r="I266" s="8"/>
      <c r="J266" s="8"/>
      <c r="K266" s="8"/>
      <c r="L266" s="8"/>
      <c r="M266" s="8"/>
      <c r="N266" s="8"/>
      <c r="O266" s="8"/>
      <c r="P266" s="8"/>
    </row>
    <row r="267" spans="1:16" x14ac:dyDescent="0.25">
      <c r="A267" s="8" t="s">
        <v>1874</v>
      </c>
      <c r="B267" s="8" t="s">
        <v>2395</v>
      </c>
      <c r="C267" s="8" t="s">
        <v>2396</v>
      </c>
      <c r="D267" s="29" t="s">
        <v>1877</v>
      </c>
      <c r="E267" s="8" t="s">
        <v>24</v>
      </c>
      <c r="F267" s="8" t="s">
        <v>24</v>
      </c>
      <c r="G267" s="25">
        <v>100</v>
      </c>
      <c r="H267" s="27"/>
      <c r="I267" s="8"/>
      <c r="J267" s="8"/>
      <c r="K267" s="8"/>
      <c r="L267" s="8"/>
      <c r="M267" s="8"/>
      <c r="N267" s="8"/>
      <c r="O267" s="8"/>
      <c r="P267" s="8"/>
    </row>
    <row r="268" spans="1:16" x14ac:dyDescent="0.25">
      <c r="A268" s="8" t="s">
        <v>1874</v>
      </c>
      <c r="B268" s="8" t="s">
        <v>2397</v>
      </c>
      <c r="C268" s="8" t="s">
        <v>2398</v>
      </c>
      <c r="D268" s="29" t="s">
        <v>1877</v>
      </c>
      <c r="E268" s="8" t="s">
        <v>195</v>
      </c>
      <c r="F268" s="8" t="s">
        <v>24</v>
      </c>
      <c r="G268" s="25"/>
      <c r="H268" s="27"/>
      <c r="I268" s="8"/>
      <c r="J268" s="8"/>
      <c r="K268" s="8"/>
      <c r="L268" s="8"/>
      <c r="M268" s="8"/>
      <c r="N268" s="8"/>
      <c r="O268" s="8"/>
      <c r="P268" s="8"/>
    </row>
    <row r="269" spans="1:16" x14ac:dyDescent="0.25">
      <c r="A269" s="8" t="s">
        <v>1914</v>
      </c>
      <c r="B269" s="8" t="s">
        <v>2399</v>
      </c>
      <c r="C269" s="8" t="s">
        <v>2400</v>
      </c>
      <c r="D269" s="29" t="s">
        <v>1917</v>
      </c>
      <c r="E269" s="8" t="s">
        <v>195</v>
      </c>
      <c r="F269" s="8" t="s">
        <v>24</v>
      </c>
      <c r="G269" s="25"/>
      <c r="H269" s="27" t="str">
        <f>HYPERLINK("https://doc.morningstar.com/Document/28fd703796af1beb8b0d8e7dc8854783.msdoc?clientid=fnz&amp;key=9c0e4d166b60ffd3","TMD")</f>
        <v>TMD</v>
      </c>
      <c r="I269" s="8" t="s">
        <v>25</v>
      </c>
      <c r="J269" s="8" t="s">
        <v>25</v>
      </c>
      <c r="K269" s="8" t="s">
        <v>25</v>
      </c>
      <c r="L269" s="8" t="s">
        <v>25</v>
      </c>
      <c r="M269" s="8" t="s">
        <v>26</v>
      </c>
      <c r="N269" s="8" t="s">
        <v>27</v>
      </c>
      <c r="O269" s="8" t="s">
        <v>27</v>
      </c>
      <c r="P269" s="8" t="s">
        <v>26</v>
      </c>
    </row>
    <row r="270" spans="1:16" x14ac:dyDescent="0.25">
      <c r="A270" s="8" t="s">
        <v>1914</v>
      </c>
      <c r="B270" s="8" t="s">
        <v>2401</v>
      </c>
      <c r="C270" s="8" t="s">
        <v>2402</v>
      </c>
      <c r="D270" s="29" t="s">
        <v>1917</v>
      </c>
      <c r="E270" s="8" t="s">
        <v>24</v>
      </c>
      <c r="F270" s="8" t="s">
        <v>24</v>
      </c>
      <c r="G270" s="25"/>
      <c r="H270" s="27" t="str">
        <f>HYPERLINK("https://doc.morningstar.com/Document/d7538c5f9308f5acbb67c34a57c0007c.msdoc?clientid=fnz&amp;key=9c0e4d166b60ffd3","TMD")</f>
        <v>TMD</v>
      </c>
      <c r="I270" s="8" t="s">
        <v>25</v>
      </c>
      <c r="J270" s="8" t="s">
        <v>25</v>
      </c>
      <c r="K270" s="8" t="s">
        <v>25</v>
      </c>
      <c r="L270" s="8" t="s">
        <v>25</v>
      </c>
      <c r="M270" s="8" t="s">
        <v>26</v>
      </c>
      <c r="N270" s="8" t="s">
        <v>26</v>
      </c>
      <c r="O270" s="8" t="s">
        <v>27</v>
      </c>
      <c r="P270" s="8" t="s">
        <v>27</v>
      </c>
    </row>
    <row r="271" spans="1:16" x14ac:dyDescent="0.25">
      <c r="A271" s="8" t="s">
        <v>1874</v>
      </c>
      <c r="B271" s="8" t="s">
        <v>2403</v>
      </c>
      <c r="C271" s="8" t="s">
        <v>2404</v>
      </c>
      <c r="D271" s="29" t="s">
        <v>1877</v>
      </c>
      <c r="E271" s="8" t="s">
        <v>195</v>
      </c>
      <c r="F271" s="8" t="s">
        <v>24</v>
      </c>
      <c r="G271" s="25"/>
      <c r="H271" s="27"/>
      <c r="I271" s="8"/>
      <c r="J271" s="8"/>
      <c r="K271" s="8"/>
      <c r="L271" s="8"/>
      <c r="M271" s="8"/>
      <c r="N271" s="8"/>
      <c r="O271" s="8"/>
      <c r="P271" s="8"/>
    </row>
    <row r="272" spans="1:16" x14ac:dyDescent="0.25">
      <c r="A272" s="8" t="s">
        <v>1874</v>
      </c>
      <c r="B272" s="8" t="s">
        <v>2405</v>
      </c>
      <c r="C272" s="8" t="s">
        <v>2406</v>
      </c>
      <c r="D272" s="29" t="s">
        <v>1877</v>
      </c>
      <c r="E272" s="8" t="s">
        <v>195</v>
      </c>
      <c r="F272" s="8" t="s">
        <v>24</v>
      </c>
      <c r="G272" s="25"/>
      <c r="H272" s="27"/>
      <c r="I272" s="8"/>
      <c r="J272" s="8"/>
      <c r="K272" s="8"/>
      <c r="L272" s="8"/>
      <c r="M272" s="8"/>
      <c r="N272" s="8"/>
      <c r="O272" s="8"/>
      <c r="P272" s="8"/>
    </row>
    <row r="273" spans="1:16" x14ac:dyDescent="0.25">
      <c r="A273" s="8" t="s">
        <v>1874</v>
      </c>
      <c r="B273" s="8" t="s">
        <v>2407</v>
      </c>
      <c r="C273" s="8" t="s">
        <v>2408</v>
      </c>
      <c r="D273" s="29" t="s">
        <v>1894</v>
      </c>
      <c r="E273" s="8" t="s">
        <v>24</v>
      </c>
      <c r="F273" s="8" t="s">
        <v>24</v>
      </c>
      <c r="G273" s="25"/>
      <c r="H273" s="27"/>
      <c r="I273" s="8"/>
      <c r="J273" s="8"/>
      <c r="K273" s="8"/>
      <c r="L273" s="8"/>
      <c r="M273" s="8"/>
      <c r="N273" s="8"/>
      <c r="O273" s="8"/>
      <c r="P273" s="8"/>
    </row>
    <row r="274" spans="1:16" x14ac:dyDescent="0.25">
      <c r="A274" s="8" t="s">
        <v>1874</v>
      </c>
      <c r="B274" s="8" t="s">
        <v>2409</v>
      </c>
      <c r="C274" s="8" t="s">
        <v>2410</v>
      </c>
      <c r="D274" s="29" t="s">
        <v>1877</v>
      </c>
      <c r="E274" s="8" t="s">
        <v>24</v>
      </c>
      <c r="F274" s="8" t="s">
        <v>24</v>
      </c>
      <c r="G274" s="25"/>
      <c r="H274" s="27"/>
      <c r="I274" s="8"/>
      <c r="J274" s="8"/>
      <c r="K274" s="8"/>
      <c r="L274" s="8"/>
      <c r="M274" s="8"/>
      <c r="N274" s="8"/>
      <c r="O274" s="8"/>
      <c r="P274" s="8"/>
    </row>
    <row r="275" spans="1:16" x14ac:dyDescent="0.25">
      <c r="A275" s="8" t="s">
        <v>1874</v>
      </c>
      <c r="B275" s="8" t="s">
        <v>2411</v>
      </c>
      <c r="C275" s="8" t="s">
        <v>2412</v>
      </c>
      <c r="D275" s="29" t="s">
        <v>1877</v>
      </c>
      <c r="E275" s="8" t="s">
        <v>195</v>
      </c>
      <c r="F275" s="8" t="s">
        <v>24</v>
      </c>
      <c r="G275" s="25"/>
      <c r="H275" s="27"/>
      <c r="I275" s="8"/>
      <c r="J275" s="8"/>
      <c r="K275" s="8"/>
      <c r="L275" s="8"/>
      <c r="M275" s="8"/>
      <c r="N275" s="8"/>
      <c r="O275" s="8"/>
      <c r="P275" s="8"/>
    </row>
    <row r="276" spans="1:16" x14ac:dyDescent="0.25">
      <c r="A276" s="8" t="s">
        <v>1874</v>
      </c>
      <c r="B276" s="8" t="s">
        <v>2413</v>
      </c>
      <c r="C276" s="8" t="s">
        <v>2414</v>
      </c>
      <c r="D276" s="29" t="s">
        <v>1877</v>
      </c>
      <c r="E276" s="8" t="s">
        <v>195</v>
      </c>
      <c r="F276" s="8" t="s">
        <v>24</v>
      </c>
      <c r="G276" s="25"/>
      <c r="H276" s="27"/>
      <c r="I276" s="8"/>
      <c r="J276" s="8"/>
      <c r="K276" s="8"/>
      <c r="L276" s="8"/>
      <c r="M276" s="8"/>
      <c r="N276" s="8"/>
      <c r="O276" s="8"/>
      <c r="P276" s="8"/>
    </row>
    <row r="277" spans="1:16" x14ac:dyDescent="0.25">
      <c r="A277" s="8" t="s">
        <v>1874</v>
      </c>
      <c r="B277" s="8" t="s">
        <v>2415</v>
      </c>
      <c r="C277" s="8" t="s">
        <v>2416</v>
      </c>
      <c r="D277" s="29" t="s">
        <v>2228</v>
      </c>
      <c r="E277" s="8" t="s">
        <v>24</v>
      </c>
      <c r="F277" s="8" t="s">
        <v>24</v>
      </c>
      <c r="G277" s="25">
        <v>20</v>
      </c>
      <c r="H277" s="27"/>
      <c r="I277" s="8"/>
      <c r="J277" s="8"/>
      <c r="K277" s="8"/>
      <c r="L277" s="8"/>
      <c r="M277" s="8"/>
      <c r="N277" s="8"/>
      <c r="O277" s="8"/>
      <c r="P277" s="8"/>
    </row>
    <row r="278" spans="1:16" x14ac:dyDescent="0.25">
      <c r="A278" s="8" t="s">
        <v>1874</v>
      </c>
      <c r="B278" s="8" t="s">
        <v>2417</v>
      </c>
      <c r="C278" s="8" t="s">
        <v>2418</v>
      </c>
      <c r="D278" s="29" t="s">
        <v>1877</v>
      </c>
      <c r="E278" s="8" t="s">
        <v>24</v>
      </c>
      <c r="F278" s="8" t="s">
        <v>24</v>
      </c>
      <c r="G278" s="25"/>
      <c r="H278" s="27"/>
      <c r="I278" s="8"/>
      <c r="J278" s="8"/>
      <c r="K278" s="8"/>
      <c r="L278" s="8"/>
      <c r="M278" s="8"/>
      <c r="N278" s="8"/>
      <c r="O278" s="8"/>
      <c r="P278" s="8"/>
    </row>
    <row r="279" spans="1:16" x14ac:dyDescent="0.25">
      <c r="A279" s="8" t="s">
        <v>1874</v>
      </c>
      <c r="B279" s="8" t="s">
        <v>2419</v>
      </c>
      <c r="C279" s="8" t="s">
        <v>2420</v>
      </c>
      <c r="D279" s="29" t="s">
        <v>1877</v>
      </c>
      <c r="E279" s="8" t="s">
        <v>24</v>
      </c>
      <c r="F279" s="8" t="s">
        <v>24</v>
      </c>
      <c r="G279" s="25"/>
      <c r="H279" s="27"/>
      <c r="I279" s="8"/>
      <c r="J279" s="8"/>
      <c r="K279" s="8"/>
      <c r="L279" s="8"/>
      <c r="M279" s="8"/>
      <c r="N279" s="8"/>
      <c r="O279" s="8"/>
      <c r="P279" s="8"/>
    </row>
    <row r="280" spans="1:16" x14ac:dyDescent="0.25">
      <c r="A280" s="8" t="s">
        <v>1874</v>
      </c>
      <c r="B280" s="8" t="s">
        <v>2421</v>
      </c>
      <c r="C280" s="8" t="s">
        <v>2422</v>
      </c>
      <c r="D280" s="29" t="s">
        <v>1877</v>
      </c>
      <c r="E280" s="8" t="s">
        <v>195</v>
      </c>
      <c r="F280" s="8" t="s">
        <v>24</v>
      </c>
      <c r="G280" s="25"/>
      <c r="H280" s="27"/>
      <c r="I280" s="8"/>
      <c r="J280" s="8"/>
      <c r="K280" s="8"/>
      <c r="L280" s="8"/>
      <c r="M280" s="8"/>
      <c r="N280" s="8"/>
      <c r="O280" s="8"/>
      <c r="P280" s="8"/>
    </row>
    <row r="281" spans="1:16" x14ac:dyDescent="0.25">
      <c r="A281" s="8" t="s">
        <v>1874</v>
      </c>
      <c r="B281" s="8" t="s">
        <v>2423</v>
      </c>
      <c r="C281" s="8" t="s">
        <v>2424</v>
      </c>
      <c r="D281" s="29" t="s">
        <v>1877</v>
      </c>
      <c r="E281" s="8" t="s">
        <v>195</v>
      </c>
      <c r="F281" s="8" t="s">
        <v>24</v>
      </c>
      <c r="G281" s="25"/>
      <c r="H281" s="27"/>
      <c r="I281" s="8"/>
      <c r="J281" s="8"/>
      <c r="K281" s="8"/>
      <c r="L281" s="8"/>
      <c r="M281" s="8"/>
      <c r="N281" s="8"/>
      <c r="O281" s="8"/>
      <c r="P281" s="8"/>
    </row>
    <row r="282" spans="1:16" x14ac:dyDescent="0.25">
      <c r="A282" s="8" t="s">
        <v>1874</v>
      </c>
      <c r="B282" s="8" t="s">
        <v>2425</v>
      </c>
      <c r="C282" s="8" t="s">
        <v>2426</v>
      </c>
      <c r="D282" s="29" t="s">
        <v>1877</v>
      </c>
      <c r="E282" s="8" t="s">
        <v>24</v>
      </c>
      <c r="F282" s="8" t="s">
        <v>24</v>
      </c>
      <c r="G282" s="25"/>
      <c r="H282" s="27"/>
      <c r="I282" s="8"/>
      <c r="J282" s="8"/>
      <c r="K282" s="8"/>
      <c r="L282" s="8"/>
      <c r="M282" s="8"/>
      <c r="N282" s="8"/>
      <c r="O282" s="8"/>
      <c r="P282" s="8"/>
    </row>
    <row r="283" spans="1:16" x14ac:dyDescent="0.25">
      <c r="A283" s="8" t="s">
        <v>1874</v>
      </c>
      <c r="B283" s="8" t="s">
        <v>2427</v>
      </c>
      <c r="C283" s="8" t="s">
        <v>2428</v>
      </c>
      <c r="D283" s="29" t="s">
        <v>1877</v>
      </c>
      <c r="E283" s="8" t="s">
        <v>24</v>
      </c>
      <c r="F283" s="8" t="s">
        <v>24</v>
      </c>
      <c r="G283" s="25"/>
      <c r="H283" s="27"/>
      <c r="I283" s="8"/>
      <c r="J283" s="8"/>
      <c r="K283" s="8"/>
      <c r="L283" s="8"/>
      <c r="M283" s="8"/>
      <c r="N283" s="8"/>
      <c r="O283" s="8"/>
      <c r="P283" s="8"/>
    </row>
    <row r="284" spans="1:16" x14ac:dyDescent="0.25">
      <c r="A284" s="8" t="s">
        <v>1874</v>
      </c>
      <c r="B284" s="8" t="s">
        <v>2429</v>
      </c>
      <c r="C284" s="8" t="s">
        <v>2430</v>
      </c>
      <c r="D284" s="29" t="s">
        <v>1877</v>
      </c>
      <c r="E284" s="8" t="s">
        <v>195</v>
      </c>
      <c r="F284" s="8" t="s">
        <v>24</v>
      </c>
      <c r="G284" s="25"/>
      <c r="H284" s="27"/>
      <c r="I284" s="8"/>
      <c r="J284" s="8"/>
      <c r="K284" s="8"/>
      <c r="L284" s="8"/>
      <c r="M284" s="8"/>
      <c r="N284" s="8"/>
      <c r="O284" s="8"/>
      <c r="P284" s="8"/>
    </row>
    <row r="285" spans="1:16" x14ac:dyDescent="0.25">
      <c r="A285" s="8" t="s">
        <v>1874</v>
      </c>
      <c r="B285" s="8" t="s">
        <v>2431</v>
      </c>
      <c r="C285" s="8" t="s">
        <v>2432</v>
      </c>
      <c r="D285" s="29" t="s">
        <v>1877</v>
      </c>
      <c r="E285" s="8" t="s">
        <v>195</v>
      </c>
      <c r="F285" s="8" t="s">
        <v>24</v>
      </c>
      <c r="G285" s="25"/>
      <c r="H285" s="27"/>
      <c r="I285" s="8"/>
      <c r="J285" s="8"/>
      <c r="K285" s="8"/>
      <c r="L285" s="8"/>
      <c r="M285" s="8"/>
      <c r="N285" s="8"/>
      <c r="O285" s="8"/>
      <c r="P285" s="8"/>
    </row>
    <row r="286" spans="1:16" x14ac:dyDescent="0.25">
      <c r="A286" s="8" t="s">
        <v>1874</v>
      </c>
      <c r="B286" s="8" t="s">
        <v>2433</v>
      </c>
      <c r="C286" s="8" t="s">
        <v>2434</v>
      </c>
      <c r="D286" s="29" t="s">
        <v>1877</v>
      </c>
      <c r="E286" s="8" t="s">
        <v>24</v>
      </c>
      <c r="F286" s="8" t="s">
        <v>24</v>
      </c>
      <c r="G286" s="25"/>
      <c r="H286" s="27"/>
      <c r="I286" s="8"/>
      <c r="J286" s="8"/>
      <c r="K286" s="8"/>
      <c r="L286" s="8"/>
      <c r="M286" s="8"/>
      <c r="N286" s="8"/>
      <c r="O286" s="8"/>
      <c r="P286" s="8"/>
    </row>
    <row r="287" spans="1:16" x14ac:dyDescent="0.25">
      <c r="A287" s="8" t="s">
        <v>1874</v>
      </c>
      <c r="B287" s="8" t="s">
        <v>2435</v>
      </c>
      <c r="C287" s="8" t="s">
        <v>2436</v>
      </c>
      <c r="D287" s="29" t="s">
        <v>1877</v>
      </c>
      <c r="E287" s="8" t="s">
        <v>24</v>
      </c>
      <c r="F287" s="8" t="s">
        <v>24</v>
      </c>
      <c r="G287" s="25"/>
      <c r="H287" s="27"/>
      <c r="I287" s="8"/>
      <c r="J287" s="8"/>
      <c r="K287" s="8"/>
      <c r="L287" s="8"/>
      <c r="M287" s="8"/>
      <c r="N287" s="8"/>
      <c r="O287" s="8"/>
      <c r="P287" s="8"/>
    </row>
    <row r="288" spans="1:16" x14ac:dyDescent="0.25">
      <c r="A288" s="8" t="s">
        <v>1874</v>
      </c>
      <c r="B288" s="8" t="s">
        <v>2437</v>
      </c>
      <c r="C288" s="8" t="s">
        <v>2438</v>
      </c>
      <c r="D288" s="29" t="s">
        <v>1877</v>
      </c>
      <c r="E288" s="8" t="s">
        <v>195</v>
      </c>
      <c r="F288" s="8" t="s">
        <v>24</v>
      </c>
      <c r="G288" s="25"/>
      <c r="H288" s="27"/>
      <c r="I288" s="8"/>
      <c r="J288" s="8"/>
      <c r="K288" s="8"/>
      <c r="L288" s="8"/>
      <c r="M288" s="8"/>
      <c r="N288" s="8"/>
      <c r="O288" s="8"/>
      <c r="P288" s="8"/>
    </row>
    <row r="289" spans="1:16" x14ac:dyDescent="0.25">
      <c r="A289" s="8" t="s">
        <v>1874</v>
      </c>
      <c r="B289" s="8" t="s">
        <v>2439</v>
      </c>
      <c r="C289" s="8" t="s">
        <v>2440</v>
      </c>
      <c r="D289" s="29" t="s">
        <v>1877</v>
      </c>
      <c r="E289" s="8" t="s">
        <v>195</v>
      </c>
      <c r="F289" s="8" t="s">
        <v>24</v>
      </c>
      <c r="G289" s="25"/>
      <c r="H289" s="27"/>
      <c r="I289" s="8"/>
      <c r="J289" s="8"/>
      <c r="K289" s="8"/>
      <c r="L289" s="8"/>
      <c r="M289" s="8"/>
      <c r="N289" s="8"/>
      <c r="O289" s="8"/>
      <c r="P289" s="8"/>
    </row>
    <row r="290" spans="1:16" x14ac:dyDescent="0.25">
      <c r="A290" s="8" t="s">
        <v>1874</v>
      </c>
      <c r="B290" s="8" t="s">
        <v>2441</v>
      </c>
      <c r="C290" s="8" t="s">
        <v>2442</v>
      </c>
      <c r="D290" s="29" t="s">
        <v>1877</v>
      </c>
      <c r="E290" s="8" t="s">
        <v>195</v>
      </c>
      <c r="F290" s="8" t="s">
        <v>24</v>
      </c>
      <c r="G290" s="25"/>
      <c r="H290" s="27"/>
      <c r="I290" s="8"/>
      <c r="J290" s="8"/>
      <c r="K290" s="8"/>
      <c r="L290" s="8"/>
      <c r="M290" s="8"/>
      <c r="N290" s="8"/>
      <c r="O290" s="8"/>
      <c r="P290" s="8"/>
    </row>
    <row r="291" spans="1:16" ht="15" customHeight="1" x14ac:dyDescent="0.25">
      <c r="A291" s="8" t="s">
        <v>1874</v>
      </c>
      <c r="B291" s="8" t="s">
        <v>2443</v>
      </c>
      <c r="C291" s="8" t="s">
        <v>2444</v>
      </c>
      <c r="D291" s="29" t="s">
        <v>1877</v>
      </c>
      <c r="E291" s="8" t="s">
        <v>195</v>
      </c>
      <c r="F291" s="8" t="s">
        <v>24</v>
      </c>
      <c r="G291" s="25"/>
      <c r="H291" s="27"/>
      <c r="I291" s="8"/>
      <c r="J291" s="8"/>
      <c r="K291" s="8"/>
      <c r="L291" s="8"/>
      <c r="M291" s="8"/>
      <c r="N291" s="8"/>
      <c r="O291" s="8"/>
      <c r="P291" s="8"/>
    </row>
    <row r="292" spans="1:16" x14ac:dyDescent="0.25">
      <c r="A292" s="8" t="s">
        <v>1874</v>
      </c>
      <c r="B292" s="8" t="s">
        <v>2445</v>
      </c>
      <c r="C292" s="8" t="s">
        <v>2446</v>
      </c>
      <c r="D292" s="29" t="s">
        <v>1877</v>
      </c>
      <c r="E292" s="8" t="s">
        <v>195</v>
      </c>
      <c r="F292" s="8" t="s">
        <v>24</v>
      </c>
      <c r="G292" s="25"/>
      <c r="H292" s="27"/>
      <c r="I292" s="8"/>
      <c r="J292" s="8"/>
      <c r="K292" s="8"/>
      <c r="L292" s="8"/>
      <c r="M292" s="8"/>
      <c r="N292" s="8"/>
      <c r="O292" s="8"/>
      <c r="P292" s="8"/>
    </row>
    <row r="293" spans="1:16" x14ac:dyDescent="0.25">
      <c r="A293" s="8" t="s">
        <v>1878</v>
      </c>
      <c r="B293" s="8" t="s">
        <v>2447</v>
      </c>
      <c r="C293" s="8" t="s">
        <v>2448</v>
      </c>
      <c r="D293" s="29" t="s">
        <v>2030</v>
      </c>
      <c r="E293" s="8" t="s">
        <v>24</v>
      </c>
      <c r="F293" s="8" t="s">
        <v>24</v>
      </c>
      <c r="G293" s="25"/>
      <c r="H293" s="27"/>
      <c r="I293" s="8"/>
      <c r="J293" s="8"/>
      <c r="K293" s="8"/>
      <c r="L293" s="8"/>
      <c r="M293" s="8"/>
      <c r="N293" s="8"/>
      <c r="O293" s="8"/>
      <c r="P293" s="8"/>
    </row>
    <row r="294" spans="1:16" x14ac:dyDescent="0.25">
      <c r="A294" s="8" t="s">
        <v>1874</v>
      </c>
      <c r="B294" s="8" t="s">
        <v>2449</v>
      </c>
      <c r="C294" s="8" t="s">
        <v>2450</v>
      </c>
      <c r="D294" s="29" t="s">
        <v>1877</v>
      </c>
      <c r="E294" s="8" t="s">
        <v>195</v>
      </c>
      <c r="F294" s="8" t="s">
        <v>24</v>
      </c>
      <c r="G294" s="25">
        <v>30</v>
      </c>
      <c r="H294" s="27"/>
      <c r="I294" s="8"/>
      <c r="J294" s="8"/>
      <c r="K294" s="8"/>
      <c r="L294" s="8"/>
      <c r="M294" s="8"/>
      <c r="N294" s="8"/>
      <c r="O294" s="8"/>
      <c r="P294" s="8"/>
    </row>
    <row r="295" spans="1:16" x14ac:dyDescent="0.25">
      <c r="A295" s="8" t="s">
        <v>1874</v>
      </c>
      <c r="B295" s="8" t="s">
        <v>2451</v>
      </c>
      <c r="C295" s="8" t="s">
        <v>2452</v>
      </c>
      <c r="D295" s="29" t="s">
        <v>1877</v>
      </c>
      <c r="E295" s="8" t="s">
        <v>195</v>
      </c>
      <c r="F295" s="8" t="s">
        <v>24</v>
      </c>
      <c r="G295" s="25"/>
      <c r="H295" s="27"/>
      <c r="I295" s="8"/>
      <c r="J295" s="8"/>
      <c r="K295" s="8"/>
      <c r="L295" s="8"/>
      <c r="M295" s="8"/>
      <c r="N295" s="8"/>
      <c r="O295" s="8"/>
      <c r="P295" s="8"/>
    </row>
    <row r="296" spans="1:16" x14ac:dyDescent="0.25">
      <c r="A296" s="8" t="s">
        <v>1874</v>
      </c>
      <c r="B296" s="8" t="s">
        <v>2453</v>
      </c>
      <c r="C296" s="8" t="s">
        <v>2454</v>
      </c>
      <c r="D296" s="29" t="s">
        <v>1877</v>
      </c>
      <c r="E296" s="8" t="s">
        <v>195</v>
      </c>
      <c r="F296" s="8" t="s">
        <v>24</v>
      </c>
      <c r="G296" s="25"/>
      <c r="H296" s="27"/>
      <c r="I296" s="8"/>
      <c r="J296" s="8"/>
      <c r="K296" s="8"/>
      <c r="L296" s="8"/>
      <c r="M296" s="8"/>
      <c r="N296" s="8"/>
      <c r="O296" s="8"/>
      <c r="P296" s="8"/>
    </row>
    <row r="297" spans="1:16" x14ac:dyDescent="0.25">
      <c r="A297" s="8" t="s">
        <v>1874</v>
      </c>
      <c r="B297" s="8" t="s">
        <v>2455</v>
      </c>
      <c r="C297" s="8" t="s">
        <v>2456</v>
      </c>
      <c r="D297" s="29" t="s">
        <v>1877</v>
      </c>
      <c r="E297" s="8" t="s">
        <v>195</v>
      </c>
      <c r="F297" s="8" t="s">
        <v>24</v>
      </c>
      <c r="G297" s="25"/>
      <c r="H297" s="27"/>
      <c r="I297" s="8"/>
      <c r="J297" s="8"/>
      <c r="K297" s="8"/>
      <c r="L297" s="8"/>
      <c r="M297" s="8"/>
      <c r="N297" s="8"/>
      <c r="O297" s="8"/>
      <c r="P297" s="8"/>
    </row>
    <row r="298" spans="1:16" x14ac:dyDescent="0.25">
      <c r="A298" s="8" t="s">
        <v>1874</v>
      </c>
      <c r="B298" s="8" t="s">
        <v>2457</v>
      </c>
      <c r="C298" s="8" t="s">
        <v>2458</v>
      </c>
      <c r="D298" s="29" t="s">
        <v>1877</v>
      </c>
      <c r="E298" s="8" t="s">
        <v>195</v>
      </c>
      <c r="F298" s="8" t="s">
        <v>24</v>
      </c>
      <c r="G298" s="25"/>
      <c r="H298" s="27"/>
      <c r="I298" s="8"/>
      <c r="J298" s="8"/>
      <c r="K298" s="8"/>
      <c r="L298" s="8"/>
      <c r="M298" s="8"/>
      <c r="N298" s="8"/>
      <c r="O298" s="8"/>
      <c r="P298" s="8"/>
    </row>
    <row r="299" spans="1:16" x14ac:dyDescent="0.25">
      <c r="A299" s="8" t="s">
        <v>1874</v>
      </c>
      <c r="B299" s="8" t="s">
        <v>2459</v>
      </c>
      <c r="C299" s="8" t="s">
        <v>2460</v>
      </c>
      <c r="D299" s="29" t="s">
        <v>1877</v>
      </c>
      <c r="E299" s="8" t="s">
        <v>195</v>
      </c>
      <c r="F299" s="8" t="s">
        <v>24</v>
      </c>
      <c r="G299" s="25"/>
      <c r="H299" s="27"/>
      <c r="I299" s="8"/>
      <c r="J299" s="8"/>
      <c r="K299" s="8"/>
      <c r="L299" s="8"/>
      <c r="M299" s="8"/>
      <c r="N299" s="8"/>
      <c r="O299" s="8"/>
      <c r="P299" s="8"/>
    </row>
    <row r="300" spans="1:16" x14ac:dyDescent="0.25">
      <c r="A300" s="8" t="s">
        <v>1874</v>
      </c>
      <c r="B300" s="8" t="s">
        <v>2461</v>
      </c>
      <c r="C300" s="8" t="s">
        <v>2462</v>
      </c>
      <c r="D300" s="29" t="s">
        <v>1877</v>
      </c>
      <c r="E300" s="8" t="s">
        <v>195</v>
      </c>
      <c r="F300" s="8" t="s">
        <v>24</v>
      </c>
      <c r="G300" s="25"/>
      <c r="H300" s="27"/>
      <c r="I300" s="8"/>
      <c r="J300" s="8"/>
      <c r="K300" s="8"/>
      <c r="L300" s="8"/>
      <c r="M300" s="8"/>
      <c r="N300" s="8"/>
      <c r="O300" s="8"/>
      <c r="P300" s="8"/>
    </row>
    <row r="301" spans="1:16" x14ac:dyDescent="0.25">
      <c r="A301" s="8" t="s">
        <v>1874</v>
      </c>
      <c r="B301" s="8" t="s">
        <v>2463</v>
      </c>
      <c r="C301" s="8" t="s">
        <v>2464</v>
      </c>
      <c r="D301" s="29" t="s">
        <v>1877</v>
      </c>
      <c r="E301" s="8" t="s">
        <v>24</v>
      </c>
      <c r="F301" s="8" t="s">
        <v>24</v>
      </c>
      <c r="G301" s="25"/>
      <c r="H301" s="27"/>
      <c r="I301" s="8"/>
      <c r="J301" s="8"/>
      <c r="K301" s="8"/>
      <c r="L301" s="8"/>
      <c r="M301" s="8"/>
      <c r="N301" s="8"/>
      <c r="O301" s="8"/>
      <c r="P301" s="8"/>
    </row>
    <row r="302" spans="1:16" x14ac:dyDescent="0.25">
      <c r="A302" s="8" t="s">
        <v>1874</v>
      </c>
      <c r="B302" s="8" t="s">
        <v>2465</v>
      </c>
      <c r="C302" s="8" t="s">
        <v>2466</v>
      </c>
      <c r="D302" s="29" t="s">
        <v>1894</v>
      </c>
      <c r="E302" s="8" t="s">
        <v>24</v>
      </c>
      <c r="F302" s="8" t="s">
        <v>24</v>
      </c>
      <c r="G302" s="25"/>
      <c r="H302" s="27"/>
      <c r="I302" s="8"/>
      <c r="J302" s="8"/>
      <c r="K302" s="8"/>
      <c r="L302" s="8"/>
      <c r="M302" s="8"/>
      <c r="N302" s="8"/>
      <c r="O302" s="8"/>
      <c r="P302" s="8"/>
    </row>
    <row r="303" spans="1:16" x14ac:dyDescent="0.25">
      <c r="A303" s="8" t="s">
        <v>1874</v>
      </c>
      <c r="B303" s="8" t="s">
        <v>2467</v>
      </c>
      <c r="C303" s="8" t="s">
        <v>2468</v>
      </c>
      <c r="D303" s="29" t="s">
        <v>1877</v>
      </c>
      <c r="E303" s="8" t="s">
        <v>24</v>
      </c>
      <c r="F303" s="8" t="s">
        <v>24</v>
      </c>
      <c r="G303" s="25"/>
      <c r="H303" s="27"/>
      <c r="I303" s="8"/>
      <c r="J303" s="8"/>
      <c r="K303" s="8"/>
      <c r="L303" s="8"/>
      <c r="M303" s="8"/>
      <c r="N303" s="8"/>
      <c r="O303" s="8"/>
      <c r="P303" s="8"/>
    </row>
    <row r="304" spans="1:16" x14ac:dyDescent="0.25">
      <c r="A304" s="8" t="s">
        <v>1874</v>
      </c>
      <c r="B304" s="8" t="s">
        <v>2469</v>
      </c>
      <c r="C304" s="8" t="s">
        <v>2470</v>
      </c>
      <c r="D304" s="29" t="s">
        <v>1877</v>
      </c>
      <c r="E304" s="8" t="s">
        <v>195</v>
      </c>
      <c r="F304" s="8" t="s">
        <v>24</v>
      </c>
      <c r="G304" s="25"/>
      <c r="H304" s="27"/>
      <c r="I304" s="8"/>
      <c r="J304" s="8"/>
      <c r="K304" s="8"/>
      <c r="L304" s="8"/>
      <c r="M304" s="8"/>
      <c r="N304" s="8"/>
      <c r="O304" s="8"/>
      <c r="P304" s="8"/>
    </row>
    <row r="305" spans="1:16" x14ac:dyDescent="0.25">
      <c r="A305" s="8" t="s">
        <v>1874</v>
      </c>
      <c r="B305" s="8" t="s">
        <v>2471</v>
      </c>
      <c r="C305" s="8" t="s">
        <v>2472</v>
      </c>
      <c r="D305" s="29" t="s">
        <v>1877</v>
      </c>
      <c r="E305" s="8" t="s">
        <v>195</v>
      </c>
      <c r="F305" s="8" t="s">
        <v>24</v>
      </c>
      <c r="G305" s="25"/>
      <c r="H305" s="27"/>
      <c r="I305" s="8"/>
      <c r="J305" s="8"/>
      <c r="K305" s="8"/>
      <c r="L305" s="8"/>
      <c r="M305" s="8"/>
      <c r="N305" s="8"/>
      <c r="O305" s="8"/>
      <c r="P305" s="8"/>
    </row>
    <row r="306" spans="1:16" ht="15" customHeight="1" x14ac:dyDescent="0.25">
      <c r="A306" s="8" t="s">
        <v>1874</v>
      </c>
      <c r="B306" s="8" t="s">
        <v>2473</v>
      </c>
      <c r="C306" s="8" t="s">
        <v>2474</v>
      </c>
      <c r="D306" s="29" t="s">
        <v>1877</v>
      </c>
      <c r="E306" s="8" t="s">
        <v>195</v>
      </c>
      <c r="F306" s="8" t="s">
        <v>24</v>
      </c>
      <c r="G306" s="25"/>
      <c r="H306" s="27"/>
      <c r="I306" s="8"/>
      <c r="J306" s="8"/>
      <c r="K306" s="8"/>
      <c r="L306" s="8"/>
      <c r="M306" s="8"/>
      <c r="N306" s="8"/>
      <c r="O306" s="8"/>
      <c r="P306" s="8"/>
    </row>
    <row r="307" spans="1:16" x14ac:dyDescent="0.25">
      <c r="A307" s="8" t="s">
        <v>1874</v>
      </c>
      <c r="B307" s="8" t="s">
        <v>2475</v>
      </c>
      <c r="C307" s="8" t="s">
        <v>2476</v>
      </c>
      <c r="D307" s="29" t="s">
        <v>1913</v>
      </c>
      <c r="E307" s="8" t="s">
        <v>195</v>
      </c>
      <c r="F307" s="8" t="s">
        <v>24</v>
      </c>
      <c r="G307" s="25"/>
      <c r="H307" s="27"/>
      <c r="I307" s="8"/>
      <c r="J307" s="8"/>
      <c r="K307" s="8"/>
      <c r="L307" s="8"/>
      <c r="M307" s="8"/>
      <c r="N307" s="8"/>
      <c r="O307" s="8"/>
      <c r="P307" s="8"/>
    </row>
    <row r="308" spans="1:16" ht="30" x14ac:dyDescent="0.25">
      <c r="A308" s="8" t="s">
        <v>1878</v>
      </c>
      <c r="B308" s="8" t="s">
        <v>2477</v>
      </c>
      <c r="C308" s="8" t="s">
        <v>2478</v>
      </c>
      <c r="D308" s="29" t="s">
        <v>1881</v>
      </c>
      <c r="E308" s="8" t="s">
        <v>195</v>
      </c>
      <c r="F308" s="8" t="s">
        <v>24</v>
      </c>
      <c r="G308" s="25"/>
      <c r="H308" s="27"/>
      <c r="I308" s="8"/>
      <c r="J308" s="8"/>
      <c r="K308" s="8"/>
      <c r="L308" s="8"/>
      <c r="M308" s="8"/>
      <c r="N308" s="8"/>
      <c r="O308" s="8"/>
      <c r="P308" s="8"/>
    </row>
    <row r="309" spans="1:16" x14ac:dyDescent="0.25">
      <c r="A309" s="8" t="s">
        <v>1874</v>
      </c>
      <c r="B309" s="8" t="s">
        <v>2479</v>
      </c>
      <c r="C309" s="8" t="s">
        <v>2480</v>
      </c>
      <c r="D309" s="29" t="s">
        <v>1877</v>
      </c>
      <c r="E309" s="8" t="s">
        <v>195</v>
      </c>
      <c r="F309" s="8" t="s">
        <v>24</v>
      </c>
      <c r="G309" s="25"/>
      <c r="H309" s="27"/>
      <c r="I309" s="8"/>
      <c r="J309" s="8"/>
      <c r="K309" s="8"/>
      <c r="L309" s="8"/>
      <c r="M309" s="8"/>
      <c r="N309" s="8"/>
      <c r="O309" s="8"/>
      <c r="P309" s="8"/>
    </row>
    <row r="310" spans="1:16" x14ac:dyDescent="0.25">
      <c r="A310" s="8" t="s">
        <v>1874</v>
      </c>
      <c r="B310" s="8" t="s">
        <v>2481</v>
      </c>
      <c r="C310" s="8" t="s">
        <v>2482</v>
      </c>
      <c r="D310" s="29" t="s">
        <v>1877</v>
      </c>
      <c r="E310" s="8" t="s">
        <v>195</v>
      </c>
      <c r="F310" s="8" t="s">
        <v>24</v>
      </c>
      <c r="G310" s="25"/>
      <c r="H310" s="27"/>
      <c r="I310" s="8"/>
      <c r="J310" s="8"/>
      <c r="K310" s="8"/>
      <c r="L310" s="8"/>
      <c r="M310" s="8"/>
      <c r="N310" s="8"/>
      <c r="O310" s="8"/>
      <c r="P310" s="8"/>
    </row>
    <row r="311" spans="1:16" x14ac:dyDescent="0.25">
      <c r="A311" s="8" t="s">
        <v>1874</v>
      </c>
      <c r="B311" s="8" t="s">
        <v>2483</v>
      </c>
      <c r="C311" s="8" t="s">
        <v>2484</v>
      </c>
      <c r="D311" s="29" t="s">
        <v>1877</v>
      </c>
      <c r="E311" s="8" t="s">
        <v>195</v>
      </c>
      <c r="F311" s="8" t="s">
        <v>24</v>
      </c>
      <c r="G311" s="25"/>
      <c r="H311" s="27"/>
      <c r="I311" s="8"/>
      <c r="J311" s="8"/>
      <c r="K311" s="8"/>
      <c r="L311" s="8"/>
      <c r="M311" s="8"/>
      <c r="N311" s="8"/>
      <c r="O311" s="8"/>
      <c r="P311" s="8"/>
    </row>
    <row r="312" spans="1:16" x14ac:dyDescent="0.25">
      <c r="A312" s="8" t="s">
        <v>1874</v>
      </c>
      <c r="B312" s="8" t="s">
        <v>2485</v>
      </c>
      <c r="C312" s="8" t="s">
        <v>2486</v>
      </c>
      <c r="D312" s="29" t="s">
        <v>1877</v>
      </c>
      <c r="E312" s="8" t="s">
        <v>195</v>
      </c>
      <c r="F312" s="8" t="s">
        <v>24</v>
      </c>
      <c r="G312" s="25"/>
      <c r="H312" s="27"/>
      <c r="I312" s="8"/>
      <c r="J312" s="8"/>
      <c r="K312" s="8"/>
      <c r="L312" s="8"/>
      <c r="M312" s="8"/>
      <c r="N312" s="8"/>
      <c r="O312" s="8"/>
      <c r="P312" s="8"/>
    </row>
    <row r="313" spans="1:16" x14ac:dyDescent="0.25">
      <c r="A313" s="8" t="s">
        <v>1874</v>
      </c>
      <c r="B313" s="8" t="s">
        <v>2487</v>
      </c>
      <c r="C313" s="8" t="s">
        <v>2488</v>
      </c>
      <c r="D313" s="29" t="s">
        <v>1877</v>
      </c>
      <c r="E313" s="8" t="s">
        <v>195</v>
      </c>
      <c r="F313" s="8" t="s">
        <v>24</v>
      </c>
      <c r="G313" s="25"/>
      <c r="H313" s="27"/>
      <c r="I313" s="8"/>
      <c r="J313" s="8"/>
      <c r="K313" s="8"/>
      <c r="L313" s="8"/>
      <c r="M313" s="8"/>
      <c r="N313" s="8"/>
      <c r="O313" s="8"/>
      <c r="P313" s="8"/>
    </row>
    <row r="314" spans="1:16" x14ac:dyDescent="0.25">
      <c r="A314" s="8" t="s">
        <v>1874</v>
      </c>
      <c r="B314" s="8" t="s">
        <v>2489</v>
      </c>
      <c r="C314" s="8" t="s">
        <v>2490</v>
      </c>
      <c r="D314" s="29" t="s">
        <v>1877</v>
      </c>
      <c r="E314" s="8" t="s">
        <v>24</v>
      </c>
      <c r="F314" s="8" t="s">
        <v>24</v>
      </c>
      <c r="G314" s="25"/>
      <c r="H314" s="27"/>
      <c r="I314" s="8"/>
      <c r="J314" s="8"/>
      <c r="K314" s="8"/>
      <c r="L314" s="8"/>
      <c r="M314" s="8"/>
      <c r="N314" s="8"/>
      <c r="O314" s="8"/>
      <c r="P314" s="8"/>
    </row>
    <row r="315" spans="1:16" x14ac:dyDescent="0.25">
      <c r="A315" s="33" t="s">
        <v>1874</v>
      </c>
      <c r="B315" s="8" t="s">
        <v>2491</v>
      </c>
      <c r="C315" s="8" t="s">
        <v>2492</v>
      </c>
      <c r="D315" s="29" t="s">
        <v>1877</v>
      </c>
      <c r="E315" s="8" t="s">
        <v>24</v>
      </c>
      <c r="F315" s="8" t="s">
        <v>24</v>
      </c>
      <c r="G315" s="25"/>
      <c r="I315" s="8"/>
      <c r="J315" s="8"/>
      <c r="K315" s="8"/>
      <c r="L315" s="8"/>
      <c r="M315" s="8"/>
      <c r="N315" s="8"/>
      <c r="O315" s="8"/>
      <c r="P315" s="8"/>
    </row>
    <row r="316" spans="1:16" x14ac:dyDescent="0.25">
      <c r="A316" s="8" t="s">
        <v>1874</v>
      </c>
      <c r="B316" s="8" t="s">
        <v>2493</v>
      </c>
      <c r="C316" s="8" t="s">
        <v>2494</v>
      </c>
      <c r="D316" s="29" t="s">
        <v>2228</v>
      </c>
      <c r="E316" s="8" t="s">
        <v>24</v>
      </c>
      <c r="F316" s="8" t="s">
        <v>24</v>
      </c>
      <c r="G316" s="25"/>
      <c r="H316" s="27"/>
      <c r="I316" s="8"/>
      <c r="J316" s="8"/>
      <c r="K316" s="8"/>
      <c r="L316" s="8"/>
      <c r="M316" s="8"/>
      <c r="N316" s="8"/>
      <c r="O316" s="8"/>
      <c r="P316" s="8"/>
    </row>
    <row r="317" spans="1:16" x14ac:dyDescent="0.25">
      <c r="A317" s="8" t="s">
        <v>1988</v>
      </c>
      <c r="B317" s="8" t="s">
        <v>2495</v>
      </c>
      <c r="C317" s="8" t="s">
        <v>2496</v>
      </c>
      <c r="D317" s="29" t="s">
        <v>1991</v>
      </c>
      <c r="E317" s="8" t="s">
        <v>24</v>
      </c>
      <c r="F317" s="8" t="s">
        <v>24</v>
      </c>
      <c r="G317" s="25">
        <v>20</v>
      </c>
      <c r="H317" s="27"/>
      <c r="I317" s="8"/>
      <c r="J317" s="8"/>
      <c r="K317" s="8"/>
      <c r="L317" s="8"/>
      <c r="M317" s="8"/>
      <c r="N317" s="8"/>
      <c r="O317" s="8"/>
      <c r="P317" s="8"/>
    </row>
    <row r="318" spans="1:16" x14ac:dyDescent="0.25">
      <c r="A318" s="8" t="s">
        <v>1874</v>
      </c>
      <c r="B318" s="8" t="s">
        <v>2497</v>
      </c>
      <c r="C318" s="8" t="s">
        <v>2498</v>
      </c>
      <c r="D318" s="29" t="s">
        <v>2228</v>
      </c>
      <c r="E318" s="8" t="s">
        <v>24</v>
      </c>
      <c r="F318" s="8" t="s">
        <v>24</v>
      </c>
      <c r="G318" s="25">
        <v>20</v>
      </c>
      <c r="H318" s="27"/>
      <c r="I318" s="8"/>
      <c r="J318" s="8"/>
      <c r="K318" s="8"/>
      <c r="L318" s="8"/>
      <c r="M318" s="8"/>
      <c r="N318" s="8"/>
      <c r="O318" s="8"/>
      <c r="P318" s="8"/>
    </row>
    <row r="319" spans="1:16" x14ac:dyDescent="0.25">
      <c r="A319" s="8" t="s">
        <v>1914</v>
      </c>
      <c r="B319" s="8" t="s">
        <v>2499</v>
      </c>
      <c r="C319" s="8" t="s">
        <v>2500</v>
      </c>
      <c r="D319" s="29" t="s">
        <v>1917</v>
      </c>
      <c r="E319" s="8" t="s">
        <v>195</v>
      </c>
      <c r="F319" s="8" t="s">
        <v>24</v>
      </c>
      <c r="G319" s="25"/>
      <c r="H319" s="27" t="s">
        <v>1495</v>
      </c>
      <c r="I319" s="8" t="s">
        <v>25</v>
      </c>
      <c r="J319" s="8"/>
      <c r="K319" s="8"/>
      <c r="L319" s="8"/>
      <c r="M319" s="8"/>
      <c r="N319" s="8"/>
      <c r="O319" s="8"/>
      <c r="P319" s="8"/>
    </row>
    <row r="320" spans="1:16" x14ac:dyDescent="0.25">
      <c r="A320" s="8" t="s">
        <v>1874</v>
      </c>
      <c r="B320" s="8" t="s">
        <v>2501</v>
      </c>
      <c r="C320" s="8" t="s">
        <v>2502</v>
      </c>
      <c r="D320" s="29" t="s">
        <v>1877</v>
      </c>
      <c r="E320" s="8" t="s">
        <v>195</v>
      </c>
      <c r="F320" s="8" t="s">
        <v>24</v>
      </c>
      <c r="G320" s="25"/>
      <c r="H320" s="27"/>
      <c r="I320" s="8"/>
      <c r="J320" s="8"/>
      <c r="K320" s="8"/>
      <c r="L320" s="8"/>
      <c r="M320" s="8"/>
      <c r="N320" s="8"/>
      <c r="O320" s="8"/>
      <c r="P320" s="8"/>
    </row>
    <row r="321" spans="1:16" x14ac:dyDescent="0.25">
      <c r="A321" s="8" t="s">
        <v>1874</v>
      </c>
      <c r="B321" s="8" t="s">
        <v>2503</v>
      </c>
      <c r="C321" s="8" t="s">
        <v>2504</v>
      </c>
      <c r="D321" s="29" t="s">
        <v>1877</v>
      </c>
      <c r="E321" s="8" t="s">
        <v>195</v>
      </c>
      <c r="F321" s="8" t="s">
        <v>24</v>
      </c>
      <c r="G321" s="25"/>
      <c r="H321" s="27"/>
      <c r="I321" s="8"/>
      <c r="J321" s="8"/>
      <c r="K321" s="8"/>
      <c r="L321" s="8"/>
      <c r="M321" s="8"/>
      <c r="N321" s="8"/>
      <c r="O321" s="8"/>
      <c r="P321" s="8"/>
    </row>
    <row r="322" spans="1:16" x14ac:dyDescent="0.25">
      <c r="A322" s="8" t="s">
        <v>1874</v>
      </c>
      <c r="B322" s="8" t="s">
        <v>2505</v>
      </c>
      <c r="C322" s="8" t="s">
        <v>2506</v>
      </c>
      <c r="D322" s="29" t="s">
        <v>1877</v>
      </c>
      <c r="E322" s="8" t="s">
        <v>195</v>
      </c>
      <c r="F322" s="8" t="s">
        <v>24</v>
      </c>
      <c r="G322" s="25"/>
      <c r="H322" s="27"/>
      <c r="I322" s="8"/>
      <c r="J322" s="8"/>
      <c r="K322" s="8"/>
      <c r="L322" s="8"/>
      <c r="M322" s="8"/>
      <c r="N322" s="8"/>
      <c r="O322" s="8"/>
      <c r="P322" s="8"/>
    </row>
    <row r="323" spans="1:16" ht="15" customHeight="1" x14ac:dyDescent="0.25">
      <c r="A323" s="8" t="s">
        <v>1988</v>
      </c>
      <c r="B323" s="8" t="s">
        <v>2507</v>
      </c>
      <c r="C323" s="8" t="s">
        <v>2508</v>
      </c>
      <c r="D323" s="29" t="s">
        <v>2509</v>
      </c>
      <c r="E323" s="8" t="s">
        <v>24</v>
      </c>
      <c r="F323" s="8" t="s">
        <v>24</v>
      </c>
      <c r="G323" s="25"/>
      <c r="H323" s="27"/>
      <c r="I323" s="8"/>
      <c r="J323" s="8"/>
      <c r="K323" s="8"/>
      <c r="L323" s="8"/>
      <c r="M323" s="8"/>
      <c r="N323" s="8"/>
      <c r="O323" s="8"/>
      <c r="P323" s="8"/>
    </row>
    <row r="324" spans="1:16" ht="15" customHeight="1" x14ac:dyDescent="0.25">
      <c r="A324" s="8" t="s">
        <v>1874</v>
      </c>
      <c r="B324" s="8" t="s">
        <v>2510</v>
      </c>
      <c r="C324" s="8" t="s">
        <v>2511</v>
      </c>
      <c r="D324" s="29" t="s">
        <v>2030</v>
      </c>
      <c r="E324" s="8" t="s">
        <v>24</v>
      </c>
      <c r="F324" s="8" t="s">
        <v>24</v>
      </c>
      <c r="G324" s="25"/>
      <c r="H324" s="27"/>
      <c r="I324" s="8"/>
      <c r="J324" s="8"/>
      <c r="K324" s="8"/>
      <c r="L324" s="8"/>
      <c r="M324" s="8"/>
      <c r="N324" s="8"/>
      <c r="O324" s="8"/>
      <c r="P324" s="8"/>
    </row>
    <row r="325" spans="1:16" ht="30" x14ac:dyDescent="0.25">
      <c r="A325" s="8" t="s">
        <v>1878</v>
      </c>
      <c r="B325" s="8" t="s">
        <v>2512</v>
      </c>
      <c r="C325" s="8" t="s">
        <v>2513</v>
      </c>
      <c r="D325" s="29" t="s">
        <v>1881</v>
      </c>
      <c r="E325" s="8" t="s">
        <v>24</v>
      </c>
      <c r="F325" s="8" t="s">
        <v>24</v>
      </c>
      <c r="G325" s="25"/>
      <c r="H325" s="27"/>
      <c r="I325" s="8"/>
      <c r="J325" s="8"/>
      <c r="K325" s="8"/>
      <c r="L325" s="8"/>
      <c r="M325" s="8"/>
      <c r="N325" s="8"/>
      <c r="O325" s="8"/>
      <c r="P325" s="8"/>
    </row>
    <row r="326" spans="1:16" ht="30" x14ac:dyDescent="0.25">
      <c r="A326" s="8" t="s">
        <v>1878</v>
      </c>
      <c r="B326" s="8" t="s">
        <v>2514</v>
      </c>
      <c r="C326" s="8" t="s">
        <v>2515</v>
      </c>
      <c r="D326" s="29" t="s">
        <v>1881</v>
      </c>
      <c r="E326" s="8" t="s">
        <v>24</v>
      </c>
      <c r="F326" s="8" t="s">
        <v>24</v>
      </c>
      <c r="G326" s="25"/>
      <c r="H326" s="27"/>
      <c r="I326" s="8"/>
      <c r="J326" s="8"/>
      <c r="K326" s="8"/>
      <c r="L326" s="8"/>
      <c r="M326" s="8"/>
      <c r="N326" s="8"/>
      <c r="O326" s="8"/>
      <c r="P326" s="8"/>
    </row>
    <row r="327" spans="1:16" x14ac:dyDescent="0.25">
      <c r="A327" s="8" t="s">
        <v>1874</v>
      </c>
      <c r="B327" s="8" t="s">
        <v>2516</v>
      </c>
      <c r="C327" s="8" t="s">
        <v>2517</v>
      </c>
      <c r="D327" s="29" t="s">
        <v>1877</v>
      </c>
      <c r="E327" s="8" t="s">
        <v>24</v>
      </c>
      <c r="F327" s="8" t="s">
        <v>24</v>
      </c>
      <c r="G327" s="25"/>
      <c r="H327" s="27"/>
      <c r="I327" s="8"/>
      <c r="J327" s="8"/>
      <c r="K327" s="8"/>
      <c r="L327" s="8"/>
      <c r="M327" s="8"/>
      <c r="N327" s="8"/>
      <c r="O327" s="8"/>
      <c r="P327" s="8"/>
    </row>
    <row r="328" spans="1:16" x14ac:dyDescent="0.25">
      <c r="A328" s="8" t="s">
        <v>1874</v>
      </c>
      <c r="B328" s="8" t="s">
        <v>2518</v>
      </c>
      <c r="C328" s="8" t="s">
        <v>2519</v>
      </c>
      <c r="D328" s="29" t="s">
        <v>1877</v>
      </c>
      <c r="E328" s="8" t="s">
        <v>24</v>
      </c>
      <c r="F328" s="8" t="s">
        <v>24</v>
      </c>
      <c r="G328" s="25"/>
      <c r="H328" s="27"/>
      <c r="I328" s="8"/>
      <c r="J328" s="8"/>
      <c r="K328" s="8"/>
      <c r="L328" s="8"/>
      <c r="M328" s="8"/>
      <c r="N328" s="8"/>
      <c r="O328" s="8"/>
      <c r="P328" s="8"/>
    </row>
    <row r="329" spans="1:16" x14ac:dyDescent="0.25">
      <c r="A329" s="8" t="s">
        <v>1874</v>
      </c>
      <c r="B329" s="8" t="s">
        <v>2520</v>
      </c>
      <c r="C329" s="8" t="s">
        <v>2521</v>
      </c>
      <c r="D329" s="29" t="s">
        <v>1877</v>
      </c>
      <c r="E329" s="8" t="s">
        <v>195</v>
      </c>
      <c r="F329" s="8" t="s">
        <v>24</v>
      </c>
      <c r="G329" s="25"/>
      <c r="H329" s="27"/>
      <c r="I329" s="8"/>
      <c r="J329" s="8"/>
      <c r="K329" s="8"/>
      <c r="L329" s="8"/>
      <c r="M329" s="8"/>
      <c r="N329" s="8"/>
      <c r="O329" s="8"/>
      <c r="P329" s="8"/>
    </row>
    <row r="330" spans="1:16" x14ac:dyDescent="0.25">
      <c r="A330" s="8" t="s">
        <v>1988</v>
      </c>
      <c r="B330" s="8" t="s">
        <v>2522</v>
      </c>
      <c r="C330" s="8" t="s">
        <v>2523</v>
      </c>
      <c r="D330" s="29" t="s">
        <v>1991</v>
      </c>
      <c r="E330" s="8" t="s">
        <v>195</v>
      </c>
      <c r="F330" s="8" t="s">
        <v>24</v>
      </c>
      <c r="G330" s="25"/>
      <c r="H330" s="27"/>
      <c r="I330" s="8"/>
      <c r="J330" s="8"/>
      <c r="K330" s="8"/>
      <c r="L330" s="8"/>
      <c r="M330" s="8"/>
      <c r="N330" s="8"/>
      <c r="O330" s="8"/>
      <c r="P330" s="8"/>
    </row>
    <row r="331" spans="1:16" x14ac:dyDescent="0.25">
      <c r="A331" s="8" t="s">
        <v>1988</v>
      </c>
      <c r="B331" s="8" t="s">
        <v>2524</v>
      </c>
      <c r="C331" s="8" t="s">
        <v>2525</v>
      </c>
      <c r="D331" s="29" t="s">
        <v>1991</v>
      </c>
      <c r="E331" s="8" t="s">
        <v>24</v>
      </c>
      <c r="F331" s="8" t="s">
        <v>24</v>
      </c>
      <c r="G331" s="25">
        <v>20</v>
      </c>
      <c r="H331" s="27"/>
      <c r="I331" s="8"/>
      <c r="J331" s="8"/>
      <c r="K331" s="8"/>
      <c r="L331" s="8"/>
      <c r="M331" s="8"/>
      <c r="N331" s="8"/>
      <c r="O331" s="8"/>
      <c r="P331" s="8"/>
    </row>
    <row r="332" spans="1:16" x14ac:dyDescent="0.25">
      <c r="A332" s="8" t="s">
        <v>1874</v>
      </c>
      <c r="B332" s="8" t="s">
        <v>2526</v>
      </c>
      <c r="C332" s="8" t="s">
        <v>2527</v>
      </c>
      <c r="D332" s="29" t="s">
        <v>1877</v>
      </c>
      <c r="E332" s="8" t="s">
        <v>24</v>
      </c>
      <c r="F332" s="8" t="s">
        <v>24</v>
      </c>
      <c r="G332" s="25"/>
      <c r="H332" s="27"/>
      <c r="I332" s="8"/>
      <c r="J332" s="8"/>
      <c r="K332" s="8"/>
      <c r="L332" s="8"/>
      <c r="M332" s="8"/>
      <c r="N332" s="8"/>
      <c r="O332" s="8"/>
      <c r="P332" s="8"/>
    </row>
    <row r="333" spans="1:16" ht="15" customHeight="1" x14ac:dyDescent="0.25">
      <c r="A333" s="8" t="s">
        <v>1874</v>
      </c>
      <c r="B333" s="8" t="s">
        <v>2528</v>
      </c>
      <c r="C333" s="8" t="s">
        <v>2529</v>
      </c>
      <c r="D333" s="29" t="s">
        <v>1877</v>
      </c>
      <c r="E333" s="8" t="s">
        <v>24</v>
      </c>
      <c r="F333" s="8" t="s">
        <v>24</v>
      </c>
      <c r="G333" s="25"/>
      <c r="H333" s="27"/>
      <c r="I333" s="8"/>
      <c r="J333" s="8"/>
      <c r="K333" s="8"/>
      <c r="L333" s="8"/>
      <c r="M333" s="8"/>
      <c r="N333" s="8"/>
      <c r="O333" s="8"/>
      <c r="P333" s="8"/>
    </row>
    <row r="334" spans="1:16" ht="15" customHeight="1" x14ac:dyDescent="0.25">
      <c r="A334" s="8" t="s">
        <v>1874</v>
      </c>
      <c r="B334" s="8" t="s">
        <v>2530</v>
      </c>
      <c r="C334" s="8" t="s">
        <v>2531</v>
      </c>
      <c r="D334" s="29" t="s">
        <v>1877</v>
      </c>
      <c r="E334" s="8" t="s">
        <v>195</v>
      </c>
      <c r="F334" s="8" t="s">
        <v>24</v>
      </c>
      <c r="G334" s="25"/>
      <c r="H334" s="27"/>
      <c r="I334" s="8"/>
      <c r="J334" s="8"/>
      <c r="K334" s="8"/>
      <c r="L334" s="8"/>
      <c r="M334" s="8"/>
      <c r="N334" s="8"/>
      <c r="O334" s="8"/>
      <c r="P334" s="8"/>
    </row>
    <row r="335" spans="1:16" ht="15" customHeight="1" x14ac:dyDescent="0.25">
      <c r="A335" s="8" t="s">
        <v>1878</v>
      </c>
      <c r="B335" s="8" t="s">
        <v>2532</v>
      </c>
      <c r="C335" s="8" t="s">
        <v>2533</v>
      </c>
      <c r="D335" s="29" t="s">
        <v>1881</v>
      </c>
      <c r="E335" s="8" t="s">
        <v>24</v>
      </c>
      <c r="F335" s="8" t="s">
        <v>24</v>
      </c>
      <c r="G335" s="25"/>
      <c r="H335" s="27"/>
      <c r="I335" s="8"/>
      <c r="J335" s="8"/>
      <c r="K335" s="8"/>
      <c r="L335" s="8"/>
      <c r="M335" s="8"/>
      <c r="N335" s="8"/>
      <c r="O335" s="8"/>
      <c r="P335" s="8"/>
    </row>
    <row r="336" spans="1:16" ht="15" customHeight="1" x14ac:dyDescent="0.25">
      <c r="A336" s="8" t="s">
        <v>1878</v>
      </c>
      <c r="B336" s="8" t="s">
        <v>2534</v>
      </c>
      <c r="C336" s="8" t="s">
        <v>2535</v>
      </c>
      <c r="D336" s="29" t="s">
        <v>1881</v>
      </c>
      <c r="E336" s="8" t="s">
        <v>24</v>
      </c>
      <c r="F336" s="8" t="s">
        <v>24</v>
      </c>
      <c r="G336" s="25"/>
      <c r="H336" s="27"/>
      <c r="I336" s="8"/>
      <c r="J336" s="8"/>
      <c r="K336" s="8"/>
      <c r="L336" s="8"/>
      <c r="M336" s="8"/>
      <c r="N336" s="8"/>
      <c r="O336" s="8"/>
      <c r="P336" s="8"/>
    </row>
    <row r="337" spans="1:16" ht="30" x14ac:dyDescent="0.25">
      <c r="A337" s="8" t="s">
        <v>1878</v>
      </c>
      <c r="B337" s="8" t="s">
        <v>2536</v>
      </c>
      <c r="C337" s="8" t="s">
        <v>2537</v>
      </c>
      <c r="D337" s="29" t="s">
        <v>1881</v>
      </c>
      <c r="E337" s="8" t="s">
        <v>24</v>
      </c>
      <c r="F337" s="8" t="s">
        <v>24</v>
      </c>
      <c r="G337" s="25"/>
      <c r="H337" s="27"/>
      <c r="I337" s="8"/>
      <c r="J337" s="8"/>
      <c r="K337" s="8"/>
      <c r="L337" s="8"/>
      <c r="M337" s="8"/>
      <c r="N337" s="8"/>
      <c r="O337" s="8"/>
      <c r="P337" s="8"/>
    </row>
    <row r="338" spans="1:16" ht="30" x14ac:dyDescent="0.25">
      <c r="A338" s="8" t="s">
        <v>1878</v>
      </c>
      <c r="B338" s="8" t="s">
        <v>2538</v>
      </c>
      <c r="C338" s="8" t="s">
        <v>2539</v>
      </c>
      <c r="D338" s="29" t="s">
        <v>1881</v>
      </c>
      <c r="E338" s="8" t="s">
        <v>24</v>
      </c>
      <c r="F338" s="8" t="s">
        <v>24</v>
      </c>
      <c r="G338" s="25"/>
      <c r="H338" s="27"/>
      <c r="I338" s="8"/>
      <c r="J338" s="8"/>
      <c r="K338" s="8"/>
      <c r="L338" s="8"/>
      <c r="M338" s="8"/>
      <c r="N338" s="8"/>
      <c r="O338" s="8"/>
      <c r="P338" s="8"/>
    </row>
    <row r="339" spans="1:16" x14ac:dyDescent="0.25">
      <c r="A339" s="8" t="s">
        <v>1874</v>
      </c>
      <c r="B339" s="8" t="s">
        <v>2540</v>
      </c>
      <c r="C339" s="8" t="s">
        <v>2541</v>
      </c>
      <c r="D339" s="29" t="s">
        <v>1877</v>
      </c>
      <c r="E339" s="8" t="s">
        <v>195</v>
      </c>
      <c r="F339" s="8" t="s">
        <v>24</v>
      </c>
      <c r="G339" s="25"/>
      <c r="H339" s="27"/>
      <c r="I339" s="8"/>
      <c r="J339" s="8"/>
      <c r="K339" s="8"/>
      <c r="L339" s="8"/>
      <c r="M339" s="8"/>
      <c r="N339" s="8"/>
      <c r="O339" s="8"/>
      <c r="P339" s="8"/>
    </row>
    <row r="340" spans="1:16" x14ac:dyDescent="0.25">
      <c r="A340" s="8" t="s">
        <v>1874</v>
      </c>
      <c r="B340" s="8" t="s">
        <v>2542</v>
      </c>
      <c r="C340" s="8" t="s">
        <v>2543</v>
      </c>
      <c r="D340" s="29" t="s">
        <v>1877</v>
      </c>
      <c r="E340" s="8" t="s">
        <v>24</v>
      </c>
      <c r="F340" s="8" t="s">
        <v>24</v>
      </c>
      <c r="G340" s="25"/>
      <c r="H340" s="27"/>
      <c r="I340" s="8"/>
      <c r="J340" s="8"/>
      <c r="K340" s="8"/>
      <c r="L340" s="8"/>
      <c r="M340" s="8"/>
      <c r="N340" s="8"/>
      <c r="O340" s="8"/>
      <c r="P340" s="8"/>
    </row>
    <row r="341" spans="1:16" x14ac:dyDescent="0.25">
      <c r="A341" s="8" t="s">
        <v>1874</v>
      </c>
      <c r="B341" s="8" t="s">
        <v>2544</v>
      </c>
      <c r="C341" s="8" t="s">
        <v>2545</v>
      </c>
      <c r="D341" s="29" t="s">
        <v>1877</v>
      </c>
      <c r="E341" s="8" t="s">
        <v>195</v>
      </c>
      <c r="F341" s="8" t="s">
        <v>24</v>
      </c>
      <c r="G341" s="25"/>
      <c r="H341" s="27"/>
      <c r="I341" s="8"/>
      <c r="J341" s="8"/>
      <c r="K341" s="8"/>
      <c r="L341" s="8"/>
      <c r="M341" s="8"/>
      <c r="N341" s="8"/>
      <c r="O341" s="8"/>
      <c r="P341" s="8"/>
    </row>
    <row r="342" spans="1:16" x14ac:dyDescent="0.25">
      <c r="A342" s="8" t="s">
        <v>1874</v>
      </c>
      <c r="B342" s="8" t="s">
        <v>2546</v>
      </c>
      <c r="C342" s="8" t="s">
        <v>2547</v>
      </c>
      <c r="D342" s="29" t="s">
        <v>1877</v>
      </c>
      <c r="E342" s="8" t="s">
        <v>195</v>
      </c>
      <c r="F342" s="8" t="s">
        <v>24</v>
      </c>
      <c r="G342" s="25"/>
      <c r="H342" s="27"/>
      <c r="I342" s="8"/>
      <c r="J342" s="8"/>
      <c r="K342" s="8"/>
      <c r="L342" s="8"/>
      <c r="M342" s="8"/>
      <c r="N342" s="8"/>
      <c r="O342" s="8"/>
      <c r="P342" s="8"/>
    </row>
    <row r="343" spans="1:16" x14ac:dyDescent="0.25">
      <c r="A343" s="8" t="s">
        <v>1874</v>
      </c>
      <c r="B343" s="8" t="s">
        <v>2548</v>
      </c>
      <c r="C343" s="8" t="s">
        <v>2549</v>
      </c>
      <c r="D343" s="29" t="s">
        <v>1877</v>
      </c>
      <c r="E343" s="8" t="s">
        <v>195</v>
      </c>
      <c r="F343" s="8" t="s">
        <v>24</v>
      </c>
      <c r="G343" s="25"/>
      <c r="H343" s="27"/>
      <c r="I343" s="8"/>
      <c r="J343" s="8"/>
      <c r="K343" s="8"/>
      <c r="L343" s="8"/>
      <c r="M343" s="8"/>
      <c r="N343" s="8"/>
      <c r="O343" s="8"/>
      <c r="P343" s="8"/>
    </row>
    <row r="344" spans="1:16" x14ac:dyDescent="0.25">
      <c r="A344" s="8" t="s">
        <v>1874</v>
      </c>
      <c r="B344" s="8" t="s">
        <v>2550</v>
      </c>
      <c r="C344" s="8" t="s">
        <v>2551</v>
      </c>
      <c r="D344" s="29" t="s">
        <v>1877</v>
      </c>
      <c r="E344" s="8" t="s">
        <v>195</v>
      </c>
      <c r="F344" s="8" t="s">
        <v>24</v>
      </c>
      <c r="G344" s="25"/>
      <c r="H344" s="27"/>
      <c r="I344" s="8"/>
      <c r="J344" s="8"/>
      <c r="K344" s="8"/>
      <c r="L344" s="8"/>
      <c r="M344" s="8"/>
      <c r="N344" s="8"/>
      <c r="O344" s="8"/>
      <c r="P344" s="8"/>
    </row>
    <row r="345" spans="1:16" x14ac:dyDescent="0.25">
      <c r="A345" s="8" t="s">
        <v>1914</v>
      </c>
      <c r="B345" s="8" t="s">
        <v>2552</v>
      </c>
      <c r="C345" s="8" t="s">
        <v>2553</v>
      </c>
      <c r="D345" s="29" t="s">
        <v>1917</v>
      </c>
      <c r="E345" s="8" t="s">
        <v>24</v>
      </c>
      <c r="F345" s="8" t="s">
        <v>24</v>
      </c>
      <c r="G345" s="25"/>
      <c r="H345" s="27" t="str">
        <f>HYPERLINK("https://doc.morningstar.com/Document/f6b75d0548198acef36d31eec81448d2.msdoc?clientid=fnz&amp;key=9c0e4d166b60ffd3","TMD")</f>
        <v>TMD</v>
      </c>
      <c r="I345" s="8" t="s">
        <v>25</v>
      </c>
      <c r="J345" s="8" t="s">
        <v>25</v>
      </c>
      <c r="K345" s="8" t="s">
        <v>25</v>
      </c>
      <c r="L345" s="8" t="s">
        <v>25</v>
      </c>
      <c r="M345" s="8" t="s">
        <v>26</v>
      </c>
      <c r="N345" s="8" t="s">
        <v>26</v>
      </c>
      <c r="O345" s="8" t="s">
        <v>27</v>
      </c>
      <c r="P345" s="8" t="s">
        <v>25</v>
      </c>
    </row>
    <row r="346" spans="1:16" x14ac:dyDescent="0.25">
      <c r="A346" s="8" t="s">
        <v>1914</v>
      </c>
      <c r="B346" s="8" t="s">
        <v>2554</v>
      </c>
      <c r="C346" s="8" t="s">
        <v>2555</v>
      </c>
      <c r="D346" s="29" t="s">
        <v>1917</v>
      </c>
      <c r="E346" s="8" t="s">
        <v>24</v>
      </c>
      <c r="F346" s="8" t="s">
        <v>24</v>
      </c>
      <c r="G346" s="25"/>
      <c r="H346" s="27" t="str">
        <f>HYPERLINK("https://doc.morningstar.com/Document/4f1d29494e400ebaada150f55f7a6fc1.msdoc?clientid=fnz&amp;key=9c0e4d166b60ffd3","TMD")</f>
        <v>TMD</v>
      </c>
      <c r="I346" s="8" t="s">
        <v>25</v>
      </c>
      <c r="J346" s="8" t="s">
        <v>25</v>
      </c>
      <c r="K346" s="8" t="s">
        <v>25</v>
      </c>
      <c r="L346" s="8" t="s">
        <v>25</v>
      </c>
      <c r="M346" s="8" t="s">
        <v>26</v>
      </c>
      <c r="N346" s="8" t="s">
        <v>26</v>
      </c>
      <c r="O346" s="8" t="s">
        <v>27</v>
      </c>
      <c r="P346" s="8" t="s">
        <v>25</v>
      </c>
    </row>
    <row r="347" spans="1:16" x14ac:dyDescent="0.25">
      <c r="A347" s="8" t="s">
        <v>1874</v>
      </c>
      <c r="B347" s="8" t="s">
        <v>2556</v>
      </c>
      <c r="C347" s="8" t="s">
        <v>2557</v>
      </c>
      <c r="D347" s="29" t="s">
        <v>1877</v>
      </c>
      <c r="E347" s="8" t="s">
        <v>24</v>
      </c>
      <c r="F347" s="8" t="s">
        <v>24</v>
      </c>
      <c r="G347" s="25"/>
      <c r="H347" s="27"/>
      <c r="I347" s="8"/>
      <c r="J347" s="8"/>
      <c r="K347" s="8"/>
      <c r="L347" s="8"/>
      <c r="M347" s="8"/>
      <c r="N347" s="8"/>
      <c r="O347" s="8"/>
      <c r="P347" s="8"/>
    </row>
    <row r="348" spans="1:16" x14ac:dyDescent="0.25">
      <c r="A348" s="8" t="s">
        <v>1874</v>
      </c>
      <c r="B348" s="8" t="s">
        <v>2558</v>
      </c>
      <c r="C348" s="8" t="s">
        <v>2559</v>
      </c>
      <c r="D348" s="29" t="s">
        <v>1877</v>
      </c>
      <c r="E348" s="8" t="s">
        <v>195</v>
      </c>
      <c r="F348" s="8" t="s">
        <v>24</v>
      </c>
      <c r="G348" s="25"/>
      <c r="H348" s="27"/>
      <c r="I348" s="8"/>
      <c r="J348" s="8"/>
      <c r="K348" s="8"/>
      <c r="L348" s="8"/>
      <c r="M348" s="8"/>
      <c r="N348" s="8"/>
      <c r="O348" s="8"/>
      <c r="P348" s="8"/>
    </row>
    <row r="349" spans="1:16" x14ac:dyDescent="0.25">
      <c r="A349" s="8" t="s">
        <v>1874</v>
      </c>
      <c r="B349" s="8" t="s">
        <v>2560</v>
      </c>
      <c r="C349" s="8" t="s">
        <v>2561</v>
      </c>
      <c r="D349" s="29" t="s">
        <v>1877</v>
      </c>
      <c r="E349" s="8" t="s">
        <v>24</v>
      </c>
      <c r="F349" s="8" t="s">
        <v>24</v>
      </c>
      <c r="G349" s="25"/>
      <c r="H349" s="27"/>
      <c r="I349" s="8"/>
      <c r="J349" s="8"/>
      <c r="K349" s="8"/>
      <c r="L349" s="8"/>
      <c r="M349" s="8"/>
      <c r="N349" s="8"/>
      <c r="O349" s="8"/>
      <c r="P349" s="8"/>
    </row>
    <row r="350" spans="1:16" x14ac:dyDescent="0.25">
      <c r="A350" s="8" t="s">
        <v>1874</v>
      </c>
      <c r="B350" s="8" t="s">
        <v>2562</v>
      </c>
      <c r="C350" s="8" t="s">
        <v>2563</v>
      </c>
      <c r="D350" s="29" t="s">
        <v>1877</v>
      </c>
      <c r="E350" s="8" t="s">
        <v>195</v>
      </c>
      <c r="F350" s="8" t="s">
        <v>24</v>
      </c>
      <c r="G350" s="25"/>
      <c r="H350" s="27"/>
      <c r="I350" s="8"/>
      <c r="J350" s="8"/>
      <c r="K350" s="8"/>
      <c r="L350" s="8"/>
      <c r="M350" s="8"/>
      <c r="N350" s="8"/>
      <c r="O350" s="8"/>
      <c r="P350" s="8"/>
    </row>
    <row r="351" spans="1:16" x14ac:dyDescent="0.25">
      <c r="A351" s="8" t="s">
        <v>1874</v>
      </c>
      <c r="B351" s="8" t="s">
        <v>2564</v>
      </c>
      <c r="C351" s="8" t="s">
        <v>2565</v>
      </c>
      <c r="D351" s="29" t="s">
        <v>1877</v>
      </c>
      <c r="E351" s="8" t="s">
        <v>195</v>
      </c>
      <c r="F351" s="8" t="s">
        <v>24</v>
      </c>
      <c r="G351" s="25"/>
      <c r="H351" s="27"/>
      <c r="I351" s="8"/>
      <c r="J351" s="8"/>
      <c r="K351" s="8"/>
      <c r="L351" s="8"/>
      <c r="M351" s="8"/>
      <c r="N351" s="8"/>
      <c r="O351" s="8"/>
      <c r="P351" s="8"/>
    </row>
    <row r="352" spans="1:16" x14ac:dyDescent="0.25">
      <c r="A352" s="8" t="s">
        <v>1874</v>
      </c>
      <c r="B352" s="8" t="s">
        <v>2566</v>
      </c>
      <c r="C352" s="8" t="s">
        <v>2567</v>
      </c>
      <c r="D352" s="29" t="s">
        <v>1877</v>
      </c>
      <c r="E352" s="8" t="s">
        <v>195</v>
      </c>
      <c r="F352" s="8" t="s">
        <v>24</v>
      </c>
      <c r="G352" s="25"/>
      <c r="H352" s="27"/>
      <c r="I352" s="8"/>
      <c r="J352" s="8"/>
      <c r="K352" s="8"/>
      <c r="L352" s="8"/>
      <c r="M352" s="8"/>
      <c r="N352" s="8"/>
      <c r="O352" s="8"/>
      <c r="P352" s="8"/>
    </row>
    <row r="353" spans="1:16" x14ac:dyDescent="0.25">
      <c r="A353" s="8" t="s">
        <v>1874</v>
      </c>
      <c r="B353" s="8" t="s">
        <v>2568</v>
      </c>
      <c r="C353" s="8" t="s">
        <v>2569</v>
      </c>
      <c r="D353" s="29" t="s">
        <v>1877</v>
      </c>
      <c r="E353" s="8" t="s">
        <v>195</v>
      </c>
      <c r="F353" s="8" t="s">
        <v>24</v>
      </c>
      <c r="G353" s="25"/>
      <c r="H353" s="27"/>
      <c r="I353" s="8"/>
      <c r="J353" s="8"/>
      <c r="K353" s="8"/>
      <c r="L353" s="8"/>
      <c r="M353" s="8"/>
      <c r="N353" s="8"/>
      <c r="O353" s="8"/>
      <c r="P353" s="8"/>
    </row>
    <row r="354" spans="1:16" x14ac:dyDescent="0.25">
      <c r="A354" s="8" t="s">
        <v>1874</v>
      </c>
      <c r="B354" s="8" t="s">
        <v>2570</v>
      </c>
      <c r="C354" s="8" t="s">
        <v>2571</v>
      </c>
      <c r="D354" s="29" t="s">
        <v>1877</v>
      </c>
      <c r="E354" s="8" t="s">
        <v>24</v>
      </c>
      <c r="F354" s="8" t="s">
        <v>24</v>
      </c>
      <c r="G354" s="25"/>
      <c r="H354" s="27"/>
      <c r="I354" s="8"/>
      <c r="J354" s="8"/>
      <c r="K354" s="8"/>
      <c r="L354" s="8"/>
      <c r="M354" s="8"/>
      <c r="N354" s="8"/>
      <c r="O354" s="8"/>
      <c r="P354" s="8"/>
    </row>
    <row r="355" spans="1:16" x14ac:dyDescent="0.25">
      <c r="A355" s="8" t="s">
        <v>1874</v>
      </c>
      <c r="B355" s="8" t="s">
        <v>2572</v>
      </c>
      <c r="C355" s="8" t="s">
        <v>2573</v>
      </c>
      <c r="D355" s="29" t="s">
        <v>1877</v>
      </c>
      <c r="E355" s="8" t="s">
        <v>195</v>
      </c>
      <c r="F355" s="8" t="s">
        <v>24</v>
      </c>
      <c r="G355" s="25"/>
      <c r="H355" s="27"/>
      <c r="I355" s="8"/>
      <c r="J355" s="8"/>
      <c r="K355" s="8"/>
      <c r="L355" s="8"/>
      <c r="M355" s="8"/>
      <c r="N355" s="8"/>
      <c r="O355" s="8"/>
      <c r="P355" s="8"/>
    </row>
    <row r="356" spans="1:16" x14ac:dyDescent="0.25">
      <c r="A356" s="8" t="s">
        <v>1874</v>
      </c>
      <c r="B356" s="8" t="s">
        <v>2574</v>
      </c>
      <c r="C356" s="8" t="s">
        <v>2575</v>
      </c>
      <c r="D356" s="29" t="s">
        <v>1877</v>
      </c>
      <c r="E356" s="8" t="s">
        <v>195</v>
      </c>
      <c r="F356" s="8" t="s">
        <v>24</v>
      </c>
      <c r="G356" s="25"/>
      <c r="H356" s="27"/>
      <c r="I356" s="8"/>
      <c r="J356" s="8"/>
      <c r="K356" s="8"/>
      <c r="L356" s="8"/>
      <c r="M356" s="8"/>
      <c r="N356" s="8"/>
      <c r="O356" s="8"/>
      <c r="P356" s="8"/>
    </row>
    <row r="357" spans="1:16" x14ac:dyDescent="0.25">
      <c r="A357" s="8" t="s">
        <v>1874</v>
      </c>
      <c r="B357" s="8" t="s">
        <v>2576</v>
      </c>
      <c r="C357" s="8" t="s">
        <v>2577</v>
      </c>
      <c r="D357" s="29" t="s">
        <v>1877</v>
      </c>
      <c r="E357" s="8" t="s">
        <v>195</v>
      </c>
      <c r="F357" s="8" t="s">
        <v>24</v>
      </c>
      <c r="G357" s="25"/>
      <c r="H357" s="27"/>
      <c r="I357" s="8"/>
      <c r="J357" s="8"/>
      <c r="K357" s="8"/>
      <c r="L357" s="8"/>
      <c r="M357" s="8"/>
      <c r="N357" s="8"/>
      <c r="O357" s="8"/>
      <c r="P357" s="8"/>
    </row>
    <row r="358" spans="1:16" x14ac:dyDescent="0.25">
      <c r="A358" s="8" t="s">
        <v>1874</v>
      </c>
      <c r="B358" s="8" t="s">
        <v>2578</v>
      </c>
      <c r="C358" s="8" t="s">
        <v>2579</v>
      </c>
      <c r="D358" s="29" t="s">
        <v>1877</v>
      </c>
      <c r="E358" s="8" t="s">
        <v>195</v>
      </c>
      <c r="F358" s="8" t="s">
        <v>24</v>
      </c>
      <c r="G358" s="25"/>
      <c r="H358" s="27"/>
      <c r="I358" s="8"/>
      <c r="J358" s="8"/>
      <c r="K358" s="8"/>
      <c r="L358" s="8"/>
      <c r="M358" s="8"/>
      <c r="N358" s="8"/>
      <c r="O358" s="8"/>
      <c r="P358" s="8"/>
    </row>
    <row r="359" spans="1:16" x14ac:dyDescent="0.25">
      <c r="A359" s="8" t="s">
        <v>1874</v>
      </c>
      <c r="B359" s="8" t="s">
        <v>2580</v>
      </c>
      <c r="C359" s="8" t="s">
        <v>2581</v>
      </c>
      <c r="D359" s="29" t="s">
        <v>1877</v>
      </c>
      <c r="E359" s="8" t="s">
        <v>195</v>
      </c>
      <c r="F359" s="8" t="s">
        <v>24</v>
      </c>
      <c r="G359" s="25"/>
      <c r="H359" s="27"/>
      <c r="I359" s="8"/>
      <c r="J359" s="8"/>
      <c r="K359" s="8"/>
      <c r="L359" s="8"/>
      <c r="M359" s="8"/>
      <c r="N359" s="8"/>
      <c r="O359" s="8"/>
      <c r="P359" s="8"/>
    </row>
    <row r="360" spans="1:16" x14ac:dyDescent="0.25">
      <c r="A360" s="8" t="s">
        <v>1874</v>
      </c>
      <c r="B360" s="8" t="s">
        <v>2582</v>
      </c>
      <c r="C360" s="8" t="s">
        <v>2583</v>
      </c>
      <c r="D360" s="29" t="s">
        <v>1877</v>
      </c>
      <c r="E360" s="8" t="s">
        <v>24</v>
      </c>
      <c r="F360" s="8" t="s">
        <v>24</v>
      </c>
      <c r="G360" s="25"/>
      <c r="H360" s="27"/>
      <c r="I360" s="8"/>
      <c r="J360" s="8"/>
      <c r="K360" s="8"/>
      <c r="L360" s="8"/>
      <c r="M360" s="8"/>
      <c r="N360" s="8"/>
      <c r="O360" s="8"/>
      <c r="P360" s="8"/>
    </row>
    <row r="361" spans="1:16" x14ac:dyDescent="0.25">
      <c r="A361" s="8" t="s">
        <v>1874</v>
      </c>
      <c r="B361" s="8" t="s">
        <v>2584</v>
      </c>
      <c r="C361" s="8" t="s">
        <v>2585</v>
      </c>
      <c r="D361" s="29" t="s">
        <v>1877</v>
      </c>
      <c r="E361" s="8" t="s">
        <v>24</v>
      </c>
      <c r="F361" s="8" t="s">
        <v>24</v>
      </c>
      <c r="G361" s="25"/>
      <c r="H361" s="27"/>
      <c r="I361" s="8"/>
      <c r="J361" s="8"/>
      <c r="K361" s="8"/>
      <c r="L361" s="8"/>
      <c r="M361" s="8"/>
      <c r="N361" s="8"/>
      <c r="O361" s="8"/>
      <c r="P361" s="8"/>
    </row>
    <row r="362" spans="1:16" x14ac:dyDescent="0.25">
      <c r="A362" s="8" t="s">
        <v>1874</v>
      </c>
      <c r="B362" s="8" t="s">
        <v>2586</v>
      </c>
      <c r="C362" s="8" t="s">
        <v>2587</v>
      </c>
      <c r="D362" s="29" t="s">
        <v>1877</v>
      </c>
      <c r="E362" s="8" t="s">
        <v>195</v>
      </c>
      <c r="F362" s="8" t="s">
        <v>24</v>
      </c>
      <c r="G362" s="25"/>
      <c r="H362" s="27"/>
      <c r="I362" s="8"/>
      <c r="J362" s="8"/>
      <c r="K362" s="8"/>
      <c r="L362" s="8"/>
      <c r="M362" s="8"/>
      <c r="N362" s="8"/>
      <c r="O362" s="8"/>
      <c r="P362" s="8"/>
    </row>
    <row r="363" spans="1:16" x14ac:dyDescent="0.25">
      <c r="A363" s="8" t="s">
        <v>1874</v>
      </c>
      <c r="B363" s="8" t="s">
        <v>2588</v>
      </c>
      <c r="C363" s="8" t="s">
        <v>2589</v>
      </c>
      <c r="D363" s="29" t="s">
        <v>1877</v>
      </c>
      <c r="E363" s="8" t="s">
        <v>195</v>
      </c>
      <c r="F363" s="8" t="s">
        <v>24</v>
      </c>
      <c r="G363" s="25"/>
      <c r="H363" s="27"/>
      <c r="I363" s="8"/>
      <c r="J363" s="8"/>
      <c r="K363" s="8"/>
      <c r="L363" s="8"/>
      <c r="M363" s="8"/>
      <c r="N363" s="8"/>
      <c r="O363" s="8"/>
      <c r="P363" s="8"/>
    </row>
    <row r="364" spans="1:16" x14ac:dyDescent="0.25">
      <c r="A364" s="8" t="s">
        <v>1874</v>
      </c>
      <c r="B364" s="8" t="s">
        <v>2590</v>
      </c>
      <c r="C364" s="8" t="s">
        <v>2591</v>
      </c>
      <c r="D364" s="29" t="s">
        <v>1877</v>
      </c>
      <c r="E364" s="8" t="s">
        <v>195</v>
      </c>
      <c r="F364" s="8" t="s">
        <v>24</v>
      </c>
      <c r="G364" s="25"/>
      <c r="H364" s="27"/>
      <c r="I364" s="8"/>
      <c r="J364" s="8"/>
      <c r="K364" s="8"/>
      <c r="L364" s="8"/>
      <c r="M364" s="8"/>
      <c r="N364" s="8"/>
      <c r="O364" s="8"/>
      <c r="P364" s="8"/>
    </row>
    <row r="365" spans="1:16" x14ac:dyDescent="0.25">
      <c r="A365" s="8" t="s">
        <v>1874</v>
      </c>
      <c r="B365" s="8" t="s">
        <v>2592</v>
      </c>
      <c r="C365" s="8" t="s">
        <v>2593</v>
      </c>
      <c r="D365" s="29" t="s">
        <v>1877</v>
      </c>
      <c r="E365" s="8" t="s">
        <v>24</v>
      </c>
      <c r="F365" s="8" t="s">
        <v>24</v>
      </c>
      <c r="G365" s="25"/>
      <c r="H365" s="27"/>
      <c r="I365" s="8"/>
      <c r="J365" s="8"/>
      <c r="K365" s="8"/>
      <c r="L365" s="8"/>
      <c r="M365" s="8"/>
      <c r="N365" s="8"/>
      <c r="O365" s="8"/>
      <c r="P365" s="8"/>
    </row>
    <row r="366" spans="1:16" x14ac:dyDescent="0.25">
      <c r="A366" s="8" t="s">
        <v>1874</v>
      </c>
      <c r="B366" s="8" t="s">
        <v>2594</v>
      </c>
      <c r="C366" s="8" t="s">
        <v>2595</v>
      </c>
      <c r="D366" s="29" t="s">
        <v>1877</v>
      </c>
      <c r="E366" s="8" t="s">
        <v>24</v>
      </c>
      <c r="F366" s="8" t="s">
        <v>24</v>
      </c>
      <c r="G366" s="25"/>
      <c r="H366" s="27"/>
      <c r="I366" s="8"/>
      <c r="J366" s="8"/>
      <c r="K366" s="8"/>
      <c r="L366" s="8"/>
      <c r="M366" s="8"/>
      <c r="N366" s="8"/>
      <c r="O366" s="8"/>
      <c r="P366" s="8"/>
    </row>
    <row r="367" spans="1:16" x14ac:dyDescent="0.25">
      <c r="A367" s="8" t="s">
        <v>1874</v>
      </c>
      <c r="B367" s="8" t="s">
        <v>2596</v>
      </c>
      <c r="C367" s="8" t="s">
        <v>2597</v>
      </c>
      <c r="D367" s="29" t="s">
        <v>1877</v>
      </c>
      <c r="E367" s="8" t="s">
        <v>195</v>
      </c>
      <c r="F367" s="8" t="s">
        <v>24</v>
      </c>
      <c r="G367" s="25"/>
      <c r="H367" s="27"/>
      <c r="I367" s="8"/>
      <c r="J367" s="8"/>
      <c r="K367" s="8"/>
      <c r="L367" s="8"/>
      <c r="M367" s="8"/>
      <c r="N367" s="8"/>
      <c r="O367" s="8"/>
      <c r="P367" s="8"/>
    </row>
    <row r="368" spans="1:16" x14ac:dyDescent="0.25">
      <c r="A368" s="8" t="s">
        <v>1874</v>
      </c>
      <c r="B368" s="8" t="s">
        <v>2598</v>
      </c>
      <c r="C368" s="8" t="s">
        <v>2599</v>
      </c>
      <c r="D368" s="29" t="s">
        <v>1877</v>
      </c>
      <c r="E368" s="8" t="s">
        <v>24</v>
      </c>
      <c r="F368" s="8" t="s">
        <v>24</v>
      </c>
      <c r="G368" s="25"/>
      <c r="H368" s="27"/>
      <c r="I368" s="8"/>
      <c r="J368" s="8"/>
      <c r="K368" s="8"/>
      <c r="L368" s="8"/>
      <c r="M368" s="8"/>
      <c r="N368" s="8"/>
      <c r="O368" s="8"/>
      <c r="P368" s="8"/>
    </row>
    <row r="369" spans="1:16" x14ac:dyDescent="0.25">
      <c r="A369" s="8" t="s">
        <v>1988</v>
      </c>
      <c r="B369" s="8" t="s">
        <v>2600</v>
      </c>
      <c r="C369" s="8" t="s">
        <v>2601</v>
      </c>
      <c r="D369" s="29" t="s">
        <v>1991</v>
      </c>
      <c r="E369" s="8" t="s">
        <v>24</v>
      </c>
      <c r="F369" s="8" t="s">
        <v>24</v>
      </c>
      <c r="G369" s="25">
        <v>20</v>
      </c>
      <c r="H369" s="27"/>
      <c r="I369" s="8"/>
      <c r="J369" s="8"/>
      <c r="K369" s="8"/>
      <c r="L369" s="8"/>
      <c r="M369" s="8"/>
      <c r="N369" s="8"/>
      <c r="O369" s="8"/>
      <c r="P369" s="8"/>
    </row>
    <row r="370" spans="1:16" x14ac:dyDescent="0.25">
      <c r="A370" s="8" t="s">
        <v>1874</v>
      </c>
      <c r="B370" s="8" t="s">
        <v>2602</v>
      </c>
      <c r="C370" s="8" t="s">
        <v>2603</v>
      </c>
      <c r="D370" s="29" t="s">
        <v>2228</v>
      </c>
      <c r="E370" s="8" t="s">
        <v>24</v>
      </c>
      <c r="F370" s="8" t="s">
        <v>24</v>
      </c>
      <c r="G370" s="25"/>
      <c r="H370" s="27"/>
      <c r="I370" s="8"/>
      <c r="J370" s="8"/>
      <c r="K370" s="8"/>
      <c r="L370" s="8"/>
      <c r="M370" s="8"/>
      <c r="N370" s="8"/>
      <c r="O370" s="8"/>
      <c r="P370" s="8"/>
    </row>
    <row r="371" spans="1:16" x14ac:dyDescent="0.25">
      <c r="A371" s="8" t="s">
        <v>1874</v>
      </c>
      <c r="B371" s="8" t="s">
        <v>2604</v>
      </c>
      <c r="C371" s="8" t="s">
        <v>2605</v>
      </c>
      <c r="D371" s="29" t="s">
        <v>1877</v>
      </c>
      <c r="E371" s="8" t="s">
        <v>195</v>
      </c>
      <c r="F371" s="8" t="s">
        <v>24</v>
      </c>
      <c r="G371" s="25"/>
      <c r="H371" s="27"/>
      <c r="I371" s="8"/>
      <c r="J371" s="8"/>
      <c r="K371" s="8"/>
      <c r="L371" s="8"/>
      <c r="M371" s="8"/>
      <c r="N371" s="8"/>
      <c r="O371" s="8"/>
      <c r="P371" s="8"/>
    </row>
    <row r="372" spans="1:16" x14ac:dyDescent="0.25">
      <c r="A372" s="8" t="s">
        <v>1874</v>
      </c>
      <c r="B372" s="8" t="s">
        <v>2606</v>
      </c>
      <c r="C372" s="8" t="s">
        <v>2607</v>
      </c>
      <c r="D372" s="29" t="s">
        <v>1877</v>
      </c>
      <c r="E372" s="8" t="s">
        <v>195</v>
      </c>
      <c r="F372" s="8" t="s">
        <v>24</v>
      </c>
      <c r="G372" s="25"/>
      <c r="H372" s="27"/>
      <c r="I372" s="8"/>
      <c r="J372" s="8"/>
      <c r="K372" s="8"/>
      <c r="L372" s="8"/>
      <c r="M372" s="8"/>
      <c r="N372" s="8"/>
      <c r="O372" s="8"/>
      <c r="P372" s="8"/>
    </row>
    <row r="373" spans="1:16" x14ac:dyDescent="0.25">
      <c r="A373" s="8" t="s">
        <v>1874</v>
      </c>
      <c r="B373" s="8" t="s">
        <v>2608</v>
      </c>
      <c r="C373" s="8" t="s">
        <v>2609</v>
      </c>
      <c r="D373" s="29" t="s">
        <v>1877</v>
      </c>
      <c r="E373" s="8" t="s">
        <v>24</v>
      </c>
      <c r="F373" s="8" t="s">
        <v>24</v>
      </c>
      <c r="G373" s="25"/>
      <c r="H373" s="27"/>
      <c r="I373" s="8"/>
      <c r="J373" s="8"/>
      <c r="K373" s="8"/>
      <c r="L373" s="8"/>
      <c r="M373" s="8"/>
      <c r="N373" s="8"/>
      <c r="O373" s="8"/>
      <c r="P373" s="8"/>
    </row>
    <row r="374" spans="1:16" x14ac:dyDescent="0.25">
      <c r="A374" s="8" t="s">
        <v>1874</v>
      </c>
      <c r="B374" s="8" t="s">
        <v>2610</v>
      </c>
      <c r="C374" s="8" t="s">
        <v>2611</v>
      </c>
      <c r="D374" s="29" t="s">
        <v>1894</v>
      </c>
      <c r="E374" s="8" t="s">
        <v>195</v>
      </c>
      <c r="F374" s="8" t="s">
        <v>24</v>
      </c>
      <c r="G374" s="25"/>
      <c r="H374" s="27"/>
      <c r="I374" s="8"/>
      <c r="J374" s="8"/>
      <c r="K374" s="8"/>
      <c r="L374" s="8"/>
      <c r="M374" s="8"/>
      <c r="N374" s="8"/>
      <c r="O374" s="8"/>
      <c r="P374" s="8"/>
    </row>
    <row r="375" spans="1:16" x14ac:dyDescent="0.25">
      <c r="A375" s="8" t="s">
        <v>1874</v>
      </c>
      <c r="B375" s="8" t="s">
        <v>2612</v>
      </c>
      <c r="C375" s="8" t="s">
        <v>2613</v>
      </c>
      <c r="D375" s="29" t="s">
        <v>1877</v>
      </c>
      <c r="E375" s="8" t="s">
        <v>195</v>
      </c>
      <c r="F375" s="8" t="s">
        <v>24</v>
      </c>
      <c r="G375" s="25"/>
      <c r="H375" s="27"/>
      <c r="I375" s="8"/>
      <c r="J375" s="8"/>
      <c r="K375" s="8"/>
      <c r="L375" s="8"/>
      <c r="M375" s="8"/>
      <c r="N375" s="8"/>
      <c r="O375" s="8"/>
      <c r="P375" s="8"/>
    </row>
    <row r="376" spans="1:16" x14ac:dyDescent="0.25">
      <c r="A376" s="8" t="s">
        <v>1914</v>
      </c>
      <c r="B376" s="8" t="s">
        <v>2614</v>
      </c>
      <c r="C376" s="8" t="s">
        <v>2615</v>
      </c>
      <c r="D376" s="29" t="s">
        <v>1917</v>
      </c>
      <c r="E376" s="8" t="s">
        <v>195</v>
      </c>
      <c r="F376" s="8" t="s">
        <v>24</v>
      </c>
      <c r="G376" s="25"/>
      <c r="H376" s="27" t="str">
        <f>HYPERLINK("https://doc.morningstar.com/Document/731f41aba0a254176061cb7240bf2359.msdoc?clientid=fnz&amp;key=9c0e4d166b60ffd3","TMD")</f>
        <v>TMD</v>
      </c>
      <c r="I376" s="8" t="s">
        <v>25</v>
      </c>
      <c r="J376" s="8" t="s">
        <v>26</v>
      </c>
      <c r="K376" s="8" t="s">
        <v>27</v>
      </c>
      <c r="L376" s="8" t="s">
        <v>27</v>
      </c>
      <c r="M376" s="8" t="s">
        <v>26</v>
      </c>
      <c r="N376" s="8" t="s">
        <v>27</v>
      </c>
      <c r="O376" s="8" t="s">
        <v>27</v>
      </c>
      <c r="P376" s="8" t="s">
        <v>27</v>
      </c>
    </row>
    <row r="377" spans="1:16" x14ac:dyDescent="0.25">
      <c r="A377" s="8" t="s">
        <v>1914</v>
      </c>
      <c r="B377" s="8" t="s">
        <v>2616</v>
      </c>
      <c r="C377" s="8" t="s">
        <v>2617</v>
      </c>
      <c r="D377" s="29" t="s">
        <v>1917</v>
      </c>
      <c r="E377" s="8" t="s">
        <v>195</v>
      </c>
      <c r="F377" s="8" t="s">
        <v>24</v>
      </c>
      <c r="G377" s="25"/>
      <c r="H377" s="27" t="s">
        <v>1495</v>
      </c>
      <c r="I377" s="8" t="s">
        <v>25</v>
      </c>
      <c r="J377" s="8"/>
      <c r="K377" s="8"/>
      <c r="L377" s="8"/>
      <c r="M377" s="8" t="s">
        <v>26</v>
      </c>
      <c r="N377" s="8" t="s">
        <v>27</v>
      </c>
      <c r="O377" s="8" t="s">
        <v>27</v>
      </c>
      <c r="P377" s="8" t="s">
        <v>27</v>
      </c>
    </row>
    <row r="378" spans="1:16" x14ac:dyDescent="0.25">
      <c r="A378" s="8" t="s">
        <v>1874</v>
      </c>
      <c r="B378" s="8" t="s">
        <v>2618</v>
      </c>
      <c r="C378" s="8" t="s">
        <v>2619</v>
      </c>
      <c r="D378" s="29" t="s">
        <v>1877</v>
      </c>
      <c r="E378" s="8" t="s">
        <v>195</v>
      </c>
      <c r="F378" s="8" t="s">
        <v>24</v>
      </c>
      <c r="G378" s="25"/>
      <c r="H378" s="27"/>
      <c r="I378" s="8"/>
      <c r="J378" s="8"/>
      <c r="K378" s="8"/>
      <c r="L378" s="8"/>
      <c r="M378" s="8"/>
      <c r="N378" s="8"/>
      <c r="O378" s="8"/>
      <c r="P378" s="8"/>
    </row>
    <row r="379" spans="1:16" x14ac:dyDescent="0.25">
      <c r="A379" s="8" t="s">
        <v>1874</v>
      </c>
      <c r="B379" s="8" t="s">
        <v>2620</v>
      </c>
      <c r="C379" s="8" t="s">
        <v>2621</v>
      </c>
      <c r="D379" s="29" t="s">
        <v>1877</v>
      </c>
      <c r="E379" s="8" t="s">
        <v>195</v>
      </c>
      <c r="F379" s="8" t="s">
        <v>24</v>
      </c>
      <c r="G379" s="25"/>
      <c r="H379" s="27"/>
      <c r="I379" s="8"/>
      <c r="J379" s="8"/>
      <c r="K379" s="8"/>
      <c r="L379" s="8"/>
      <c r="M379" s="8"/>
      <c r="N379" s="8"/>
      <c r="O379" s="8"/>
      <c r="P379" s="8"/>
    </row>
    <row r="380" spans="1:16" x14ac:dyDescent="0.25">
      <c r="A380" s="8" t="s">
        <v>1874</v>
      </c>
      <c r="B380" s="8" t="s">
        <v>2622</v>
      </c>
      <c r="C380" s="8" t="s">
        <v>2623</v>
      </c>
      <c r="D380" s="29" t="s">
        <v>1894</v>
      </c>
      <c r="E380" s="8" t="s">
        <v>24</v>
      </c>
      <c r="F380" s="8" t="s">
        <v>24</v>
      </c>
      <c r="G380" s="25"/>
      <c r="H380" s="27"/>
      <c r="I380" s="8"/>
      <c r="J380" s="8"/>
      <c r="K380" s="8"/>
      <c r="L380" s="8"/>
      <c r="M380" s="8"/>
      <c r="N380" s="8"/>
      <c r="O380" s="8"/>
      <c r="P380" s="8"/>
    </row>
    <row r="381" spans="1:16" x14ac:dyDescent="0.25">
      <c r="A381" s="8" t="s">
        <v>1874</v>
      </c>
      <c r="B381" s="8" t="s">
        <v>2624</v>
      </c>
      <c r="C381" s="8" t="s">
        <v>2625</v>
      </c>
      <c r="D381" s="29" t="s">
        <v>1877</v>
      </c>
      <c r="E381" s="8" t="s">
        <v>24</v>
      </c>
      <c r="F381" s="8" t="s">
        <v>24</v>
      </c>
      <c r="G381" s="25"/>
      <c r="H381" s="27"/>
      <c r="I381" s="8"/>
      <c r="J381" s="8"/>
      <c r="K381" s="8"/>
      <c r="L381" s="8"/>
      <c r="M381" s="8"/>
      <c r="N381" s="8"/>
      <c r="O381" s="8"/>
      <c r="P381" s="8"/>
    </row>
    <row r="382" spans="1:16" x14ac:dyDescent="0.25">
      <c r="A382" s="8" t="s">
        <v>1874</v>
      </c>
      <c r="B382" s="8" t="s">
        <v>2626</v>
      </c>
      <c r="C382" s="8" t="s">
        <v>2627</v>
      </c>
      <c r="D382" s="29" t="s">
        <v>1877</v>
      </c>
      <c r="E382" s="8" t="s">
        <v>195</v>
      </c>
      <c r="F382" s="8" t="s">
        <v>24</v>
      </c>
      <c r="G382" s="25"/>
      <c r="H382" s="27"/>
      <c r="I382" s="8"/>
      <c r="J382" s="8"/>
      <c r="K382" s="8"/>
      <c r="L382" s="8"/>
      <c r="M382" s="8"/>
      <c r="N382" s="8"/>
      <c r="O382" s="8"/>
      <c r="P382" s="8"/>
    </row>
    <row r="383" spans="1:16" x14ac:dyDescent="0.25">
      <c r="A383" s="8" t="s">
        <v>1874</v>
      </c>
      <c r="B383" s="8" t="s">
        <v>2628</v>
      </c>
      <c r="C383" s="8" t="s">
        <v>2629</v>
      </c>
      <c r="D383" s="29" t="s">
        <v>1877</v>
      </c>
      <c r="E383" s="8" t="s">
        <v>195</v>
      </c>
      <c r="F383" s="8" t="s">
        <v>24</v>
      </c>
      <c r="G383" s="25"/>
      <c r="H383" s="27"/>
      <c r="I383" s="8"/>
      <c r="J383" s="8"/>
      <c r="K383" s="8"/>
      <c r="L383" s="8"/>
      <c r="M383" s="8"/>
      <c r="N383" s="8"/>
      <c r="O383" s="8"/>
      <c r="P383" s="8"/>
    </row>
    <row r="384" spans="1:16" x14ac:dyDescent="0.25">
      <c r="A384" s="8" t="s">
        <v>1874</v>
      </c>
      <c r="B384" s="8" t="s">
        <v>2630</v>
      </c>
      <c r="C384" s="8" t="s">
        <v>2631</v>
      </c>
      <c r="D384" s="29" t="s">
        <v>1877</v>
      </c>
      <c r="E384" s="8" t="s">
        <v>24</v>
      </c>
      <c r="F384" s="8" t="s">
        <v>24</v>
      </c>
      <c r="G384" s="25"/>
      <c r="H384" s="27"/>
      <c r="I384" s="8"/>
      <c r="J384" s="8"/>
      <c r="K384" s="8"/>
      <c r="L384" s="8"/>
      <c r="M384" s="8"/>
      <c r="N384" s="8"/>
      <c r="O384" s="8"/>
      <c r="P384" s="8"/>
    </row>
    <row r="385" spans="1:16" ht="15" customHeight="1" x14ac:dyDescent="0.25">
      <c r="A385" s="8" t="s">
        <v>1874</v>
      </c>
      <c r="B385" s="8" t="s">
        <v>2632</v>
      </c>
      <c r="C385" s="8" t="s">
        <v>2633</v>
      </c>
      <c r="D385" s="29" t="s">
        <v>1877</v>
      </c>
      <c r="E385" s="8" t="s">
        <v>195</v>
      </c>
      <c r="F385" s="8" t="s">
        <v>24</v>
      </c>
      <c r="G385" s="25"/>
      <c r="H385" s="27"/>
      <c r="I385" s="8"/>
      <c r="J385" s="8"/>
      <c r="K385" s="8"/>
      <c r="L385" s="8"/>
      <c r="M385" s="8"/>
      <c r="N385" s="8"/>
      <c r="O385" s="8"/>
      <c r="P385" s="8"/>
    </row>
    <row r="386" spans="1:16" ht="30" x14ac:dyDescent="0.25">
      <c r="A386" s="8" t="s">
        <v>1878</v>
      </c>
      <c r="B386" s="8" t="s">
        <v>2634</v>
      </c>
      <c r="C386" s="8" t="s">
        <v>2635</v>
      </c>
      <c r="D386" s="29" t="s">
        <v>1881</v>
      </c>
      <c r="E386" s="8" t="s">
        <v>24</v>
      </c>
      <c r="F386" s="8" t="s">
        <v>24</v>
      </c>
      <c r="G386" s="25"/>
      <c r="H386" s="27"/>
      <c r="I386" s="8"/>
      <c r="J386" s="8"/>
      <c r="K386" s="8"/>
      <c r="L386" s="8"/>
      <c r="M386" s="8"/>
      <c r="N386" s="8"/>
      <c r="O386" s="8"/>
      <c r="P386" s="8"/>
    </row>
    <row r="387" spans="1:16" x14ac:dyDescent="0.25">
      <c r="A387" s="8" t="s">
        <v>1874</v>
      </c>
      <c r="B387" s="8" t="s">
        <v>2636</v>
      </c>
      <c r="C387" s="8" t="s">
        <v>2637</v>
      </c>
      <c r="D387" s="29" t="s">
        <v>1877</v>
      </c>
      <c r="E387" s="8" t="s">
        <v>24</v>
      </c>
      <c r="F387" s="8" t="s">
        <v>24</v>
      </c>
      <c r="G387" s="25"/>
      <c r="H387" s="27"/>
      <c r="I387" s="8"/>
      <c r="J387" s="8"/>
      <c r="K387" s="8"/>
      <c r="L387" s="8"/>
      <c r="M387" s="8"/>
      <c r="N387" s="8"/>
      <c r="O387" s="8"/>
      <c r="P387" s="8"/>
    </row>
    <row r="388" spans="1:16" x14ac:dyDescent="0.25">
      <c r="A388" s="8" t="s">
        <v>1874</v>
      </c>
      <c r="B388" s="8" t="s">
        <v>2638</v>
      </c>
      <c r="C388" s="8" t="s">
        <v>2639</v>
      </c>
      <c r="D388" s="29" t="s">
        <v>1877</v>
      </c>
      <c r="E388" s="8" t="s">
        <v>195</v>
      </c>
      <c r="F388" s="8" t="s">
        <v>24</v>
      </c>
      <c r="G388" s="25"/>
      <c r="H388" s="27"/>
      <c r="I388" s="8"/>
      <c r="J388" s="8"/>
      <c r="K388" s="8"/>
      <c r="L388" s="8"/>
      <c r="M388" s="8"/>
      <c r="N388" s="8"/>
      <c r="O388" s="8"/>
      <c r="P388" s="8"/>
    </row>
    <row r="389" spans="1:16" x14ac:dyDescent="0.25">
      <c r="A389" s="8" t="s">
        <v>1874</v>
      </c>
      <c r="B389" s="8" t="s">
        <v>2640</v>
      </c>
      <c r="C389" s="8" t="s">
        <v>2641</v>
      </c>
      <c r="D389" s="29" t="s">
        <v>1877</v>
      </c>
      <c r="E389" s="8" t="s">
        <v>195</v>
      </c>
      <c r="F389" s="8" t="s">
        <v>24</v>
      </c>
      <c r="G389" s="25"/>
      <c r="H389" s="27"/>
      <c r="I389" s="8"/>
      <c r="J389" s="8"/>
      <c r="K389" s="8"/>
      <c r="L389" s="8"/>
      <c r="M389" s="8"/>
      <c r="N389" s="8"/>
      <c r="O389" s="8"/>
      <c r="P389" s="8"/>
    </row>
    <row r="390" spans="1:16" x14ac:dyDescent="0.25">
      <c r="A390" s="8" t="s">
        <v>1874</v>
      </c>
      <c r="B390" s="8" t="s">
        <v>2642</v>
      </c>
      <c r="C390" s="8" t="s">
        <v>2643</v>
      </c>
      <c r="D390" s="29" t="s">
        <v>1877</v>
      </c>
      <c r="E390" s="8" t="s">
        <v>195</v>
      </c>
      <c r="F390" s="8" t="s">
        <v>24</v>
      </c>
      <c r="G390" s="25"/>
      <c r="H390" s="27"/>
      <c r="I390" s="8"/>
      <c r="J390" s="8"/>
      <c r="K390" s="8"/>
      <c r="L390" s="8"/>
      <c r="M390" s="8"/>
      <c r="N390" s="8"/>
      <c r="O390" s="8"/>
      <c r="P390" s="8"/>
    </row>
    <row r="391" spans="1:16" x14ac:dyDescent="0.25">
      <c r="A391" s="8" t="s">
        <v>1874</v>
      </c>
      <c r="B391" s="8" t="s">
        <v>2644</v>
      </c>
      <c r="C391" s="8" t="s">
        <v>2645</v>
      </c>
      <c r="D391" s="29" t="s">
        <v>1877</v>
      </c>
      <c r="E391" s="8" t="s">
        <v>195</v>
      </c>
      <c r="F391" s="8" t="s">
        <v>24</v>
      </c>
      <c r="G391" s="25"/>
      <c r="H391" s="27"/>
      <c r="I391" s="8"/>
      <c r="J391" s="8"/>
      <c r="K391" s="8"/>
      <c r="L391" s="8"/>
      <c r="M391" s="8"/>
      <c r="N391" s="8"/>
      <c r="O391" s="8"/>
      <c r="P391" s="8"/>
    </row>
    <row r="392" spans="1:16" x14ac:dyDescent="0.25">
      <c r="A392" s="8" t="s">
        <v>1874</v>
      </c>
      <c r="B392" s="8" t="s">
        <v>2646</v>
      </c>
      <c r="C392" s="8" t="s">
        <v>2647</v>
      </c>
      <c r="D392" s="29" t="s">
        <v>1877</v>
      </c>
      <c r="E392" s="8" t="s">
        <v>195</v>
      </c>
      <c r="F392" s="8" t="s">
        <v>24</v>
      </c>
      <c r="G392" s="25"/>
      <c r="H392" s="27"/>
      <c r="I392" s="8"/>
      <c r="J392" s="8"/>
      <c r="K392" s="8"/>
      <c r="L392" s="8"/>
      <c r="M392" s="8"/>
      <c r="N392" s="8"/>
      <c r="O392" s="8"/>
      <c r="P392" s="8"/>
    </row>
    <row r="393" spans="1:16" x14ac:dyDescent="0.25">
      <c r="A393" s="8" t="s">
        <v>1874</v>
      </c>
      <c r="B393" s="8" t="s">
        <v>2648</v>
      </c>
      <c r="C393" s="8" t="s">
        <v>2649</v>
      </c>
      <c r="D393" s="29" t="s">
        <v>1877</v>
      </c>
      <c r="E393" s="8" t="s">
        <v>195</v>
      </c>
      <c r="F393" s="8" t="s">
        <v>24</v>
      </c>
      <c r="G393" s="25"/>
      <c r="H393" s="27"/>
      <c r="I393" s="8"/>
      <c r="J393" s="8"/>
      <c r="K393" s="8"/>
      <c r="L393" s="8"/>
      <c r="M393" s="8"/>
      <c r="N393" s="8"/>
      <c r="O393" s="8"/>
      <c r="P393" s="8"/>
    </row>
    <row r="394" spans="1:16" x14ac:dyDescent="0.25">
      <c r="A394" s="8" t="s">
        <v>1874</v>
      </c>
      <c r="B394" s="8" t="s">
        <v>2650</v>
      </c>
      <c r="C394" s="8" t="s">
        <v>2651</v>
      </c>
      <c r="D394" s="29" t="s">
        <v>1877</v>
      </c>
      <c r="E394" s="8" t="s">
        <v>195</v>
      </c>
      <c r="F394" s="8" t="s">
        <v>24</v>
      </c>
      <c r="G394" s="25"/>
      <c r="H394" s="27"/>
      <c r="I394" s="8"/>
      <c r="J394" s="8"/>
      <c r="K394" s="8"/>
      <c r="L394" s="8"/>
      <c r="M394" s="8"/>
      <c r="N394" s="8"/>
      <c r="O394" s="8"/>
      <c r="P394" s="8"/>
    </row>
    <row r="395" spans="1:16" x14ac:dyDescent="0.25">
      <c r="A395" s="8" t="s">
        <v>1874</v>
      </c>
      <c r="B395" s="8" t="s">
        <v>2652</v>
      </c>
      <c r="C395" s="8" t="s">
        <v>2653</v>
      </c>
      <c r="D395" s="29" t="s">
        <v>1877</v>
      </c>
      <c r="E395" s="8" t="s">
        <v>195</v>
      </c>
      <c r="F395" s="8" t="s">
        <v>24</v>
      </c>
      <c r="G395" s="25"/>
      <c r="H395" s="27"/>
      <c r="I395" s="8"/>
      <c r="J395" s="8"/>
      <c r="K395" s="8"/>
      <c r="L395" s="8"/>
      <c r="M395" s="8"/>
      <c r="N395" s="8"/>
      <c r="O395" s="8"/>
      <c r="P395" s="8"/>
    </row>
    <row r="396" spans="1:16" x14ac:dyDescent="0.25">
      <c r="A396" s="8" t="s">
        <v>1874</v>
      </c>
      <c r="B396" s="8" t="s">
        <v>2654</v>
      </c>
      <c r="C396" s="8" t="s">
        <v>2655</v>
      </c>
      <c r="D396" s="29" t="s">
        <v>1877</v>
      </c>
      <c r="E396" s="8" t="s">
        <v>195</v>
      </c>
      <c r="F396" s="8" t="s">
        <v>24</v>
      </c>
      <c r="G396" s="25"/>
      <c r="H396" s="27"/>
      <c r="I396" s="8"/>
      <c r="J396" s="8"/>
      <c r="K396" s="8"/>
      <c r="L396" s="8"/>
      <c r="M396" s="8"/>
      <c r="N396" s="8"/>
      <c r="O396" s="8"/>
      <c r="P396" s="8"/>
    </row>
    <row r="397" spans="1:16" x14ac:dyDescent="0.25">
      <c r="A397" s="8" t="s">
        <v>1914</v>
      </c>
      <c r="B397" s="8" t="s">
        <v>2656</v>
      </c>
      <c r="C397" s="8" t="s">
        <v>2657</v>
      </c>
      <c r="D397" s="29" t="s">
        <v>1917</v>
      </c>
      <c r="E397" s="8" t="s">
        <v>195</v>
      </c>
      <c r="F397" s="8" t="s">
        <v>24</v>
      </c>
      <c r="G397" s="25"/>
      <c r="H397" s="27" t="s">
        <v>1495</v>
      </c>
      <c r="I397" s="8" t="s">
        <v>25</v>
      </c>
      <c r="J397" s="8"/>
      <c r="K397" s="8"/>
      <c r="L397" s="8"/>
      <c r="M397" s="8"/>
      <c r="N397" s="8"/>
      <c r="O397" s="8"/>
      <c r="P397" s="8"/>
    </row>
    <row r="398" spans="1:16" x14ac:dyDescent="0.25">
      <c r="A398" s="8" t="s">
        <v>1914</v>
      </c>
      <c r="B398" s="8" t="s">
        <v>2658</v>
      </c>
      <c r="C398" s="8" t="s">
        <v>2659</v>
      </c>
      <c r="D398" s="29" t="s">
        <v>1917</v>
      </c>
      <c r="E398" s="8" t="s">
        <v>195</v>
      </c>
      <c r="F398" s="8" t="s">
        <v>24</v>
      </c>
      <c r="G398" s="25"/>
      <c r="H398" s="27" t="str">
        <f>HYPERLINK("https://doc.morningstar.com/Document/bb1cfa346de13edf46c3336de998fc16.msdoc?clientid=fnz&amp;key=9c0e4d166b60ffd3","TMD")</f>
        <v>TMD</v>
      </c>
      <c r="I398" s="8" t="s">
        <v>25</v>
      </c>
      <c r="J398" s="8" t="s">
        <v>26</v>
      </c>
      <c r="K398" s="8" t="s">
        <v>27</v>
      </c>
      <c r="L398" s="8" t="s">
        <v>27</v>
      </c>
      <c r="M398" s="8" t="s">
        <v>26</v>
      </c>
      <c r="N398" s="8" t="s">
        <v>27</v>
      </c>
      <c r="O398" s="8" t="s">
        <v>27</v>
      </c>
      <c r="P398" s="8" t="s">
        <v>27</v>
      </c>
    </row>
    <row r="399" spans="1:16" x14ac:dyDescent="0.25">
      <c r="A399" s="8" t="s">
        <v>1874</v>
      </c>
      <c r="B399" s="8" t="s">
        <v>2660</v>
      </c>
      <c r="C399" s="8" t="s">
        <v>2661</v>
      </c>
      <c r="D399" s="29" t="s">
        <v>2030</v>
      </c>
      <c r="E399" s="8" t="s">
        <v>24</v>
      </c>
      <c r="F399" s="8" t="s">
        <v>24</v>
      </c>
      <c r="G399" s="25"/>
      <c r="H399" s="27"/>
      <c r="I399" s="8"/>
      <c r="J399" s="8"/>
      <c r="K399" s="8"/>
      <c r="L399" s="8"/>
      <c r="M399" s="8"/>
      <c r="N399" s="8"/>
      <c r="O399" s="8"/>
      <c r="P399" s="8"/>
    </row>
    <row r="400" spans="1:16" x14ac:dyDescent="0.25">
      <c r="A400" s="8" t="s">
        <v>1874</v>
      </c>
      <c r="B400" s="8" t="s">
        <v>2662</v>
      </c>
      <c r="C400" s="8" t="s">
        <v>2663</v>
      </c>
      <c r="D400" s="29" t="s">
        <v>1877</v>
      </c>
      <c r="E400" s="8" t="s">
        <v>24</v>
      </c>
      <c r="F400" s="8" t="s">
        <v>24</v>
      </c>
      <c r="G400" s="25"/>
      <c r="H400" s="27"/>
      <c r="I400" s="8"/>
      <c r="J400" s="8"/>
      <c r="K400" s="8"/>
      <c r="L400" s="8"/>
      <c r="M400" s="8"/>
      <c r="N400" s="8"/>
      <c r="O400" s="8"/>
      <c r="P400" s="8"/>
    </row>
    <row r="401" spans="1:16" x14ac:dyDescent="0.25">
      <c r="A401" s="8" t="s">
        <v>1874</v>
      </c>
      <c r="B401" s="8" t="s">
        <v>2664</v>
      </c>
      <c r="C401" s="8" t="s">
        <v>2665</v>
      </c>
      <c r="D401" s="29" t="s">
        <v>1877</v>
      </c>
      <c r="E401" s="8" t="s">
        <v>195</v>
      </c>
      <c r="F401" s="8" t="s">
        <v>24</v>
      </c>
      <c r="G401" s="25"/>
      <c r="H401" s="27"/>
      <c r="I401" s="8"/>
      <c r="J401" s="8"/>
      <c r="K401" s="8"/>
      <c r="L401" s="8"/>
      <c r="M401" s="8"/>
      <c r="N401" s="8"/>
      <c r="O401" s="8"/>
      <c r="P401" s="8"/>
    </row>
    <row r="402" spans="1:16" x14ac:dyDescent="0.25">
      <c r="A402" s="8" t="s">
        <v>1874</v>
      </c>
      <c r="B402" s="8" t="s">
        <v>2666</v>
      </c>
      <c r="C402" s="8" t="s">
        <v>2667</v>
      </c>
      <c r="D402" s="29" t="s">
        <v>1877</v>
      </c>
      <c r="E402" s="8" t="s">
        <v>195</v>
      </c>
      <c r="F402" s="8" t="s">
        <v>24</v>
      </c>
      <c r="G402" s="25"/>
      <c r="H402" s="27"/>
      <c r="I402" s="8"/>
      <c r="J402" s="8"/>
      <c r="K402" s="8"/>
      <c r="L402" s="8"/>
      <c r="M402" s="8"/>
      <c r="N402" s="8"/>
      <c r="O402" s="8"/>
      <c r="P402" s="8"/>
    </row>
    <row r="403" spans="1:16" x14ac:dyDescent="0.25">
      <c r="A403" s="8" t="s">
        <v>1874</v>
      </c>
      <c r="B403" s="8" t="s">
        <v>2668</v>
      </c>
      <c r="C403" s="8" t="s">
        <v>2669</v>
      </c>
      <c r="D403" s="29" t="s">
        <v>1877</v>
      </c>
      <c r="E403" s="8" t="s">
        <v>24</v>
      </c>
      <c r="F403" s="8" t="s">
        <v>24</v>
      </c>
      <c r="G403" s="25"/>
      <c r="H403" s="27"/>
      <c r="I403" s="8"/>
      <c r="J403" s="8"/>
      <c r="K403" s="8"/>
      <c r="L403" s="8"/>
      <c r="M403" s="8"/>
      <c r="N403" s="8"/>
      <c r="O403" s="8"/>
      <c r="P403" s="8"/>
    </row>
    <row r="404" spans="1:16" x14ac:dyDescent="0.25">
      <c r="A404" s="8" t="s">
        <v>1874</v>
      </c>
      <c r="B404" s="8" t="s">
        <v>2670</v>
      </c>
      <c r="C404" s="8" t="s">
        <v>2671</v>
      </c>
      <c r="D404" s="29" t="s">
        <v>1877</v>
      </c>
      <c r="E404" s="8" t="s">
        <v>195</v>
      </c>
      <c r="F404" s="8" t="s">
        <v>24</v>
      </c>
      <c r="G404" s="25"/>
      <c r="H404" s="27"/>
      <c r="I404" s="8"/>
      <c r="J404" s="8"/>
      <c r="K404" s="8"/>
      <c r="L404" s="8"/>
      <c r="M404" s="8"/>
      <c r="N404" s="8"/>
      <c r="O404" s="8"/>
      <c r="P404" s="8"/>
    </row>
    <row r="405" spans="1:16" x14ac:dyDescent="0.25">
      <c r="A405" s="8" t="s">
        <v>1874</v>
      </c>
      <c r="B405" s="8" t="s">
        <v>2672</v>
      </c>
      <c r="C405" s="8" t="s">
        <v>2673</v>
      </c>
      <c r="D405" s="29" t="s">
        <v>1877</v>
      </c>
      <c r="E405" s="8" t="s">
        <v>195</v>
      </c>
      <c r="F405" s="8" t="s">
        <v>24</v>
      </c>
      <c r="G405" s="25"/>
      <c r="H405" s="27"/>
      <c r="I405" s="8"/>
      <c r="J405" s="8"/>
      <c r="K405" s="8"/>
      <c r="L405" s="8"/>
      <c r="M405" s="8"/>
      <c r="N405" s="8"/>
      <c r="O405" s="8"/>
      <c r="P405" s="8"/>
    </row>
    <row r="406" spans="1:16" x14ac:dyDescent="0.25">
      <c r="A406" s="8" t="s">
        <v>1874</v>
      </c>
      <c r="B406" s="8" t="s">
        <v>2674</v>
      </c>
      <c r="C406" s="8" t="s">
        <v>2675</v>
      </c>
      <c r="D406" s="29" t="s">
        <v>1877</v>
      </c>
      <c r="E406" s="8" t="s">
        <v>195</v>
      </c>
      <c r="F406" s="8" t="s">
        <v>24</v>
      </c>
      <c r="G406" s="25"/>
      <c r="H406" s="27"/>
      <c r="I406" s="8"/>
      <c r="J406" s="8"/>
      <c r="K406" s="8"/>
      <c r="L406" s="8"/>
      <c r="M406" s="8"/>
      <c r="N406" s="8"/>
      <c r="O406" s="8"/>
      <c r="P406" s="8"/>
    </row>
    <row r="407" spans="1:16" x14ac:dyDescent="0.25">
      <c r="A407" s="8" t="s">
        <v>1874</v>
      </c>
      <c r="B407" s="8" t="s">
        <v>2676</v>
      </c>
      <c r="C407" s="8" t="s">
        <v>2677</v>
      </c>
      <c r="D407" s="29" t="s">
        <v>1877</v>
      </c>
      <c r="E407" s="8" t="s">
        <v>24</v>
      </c>
      <c r="F407" s="8" t="s">
        <v>24</v>
      </c>
      <c r="G407" s="25"/>
      <c r="H407" s="27"/>
      <c r="I407" s="8"/>
      <c r="J407" s="8"/>
      <c r="K407" s="8"/>
      <c r="L407" s="8"/>
      <c r="M407" s="8"/>
      <c r="N407" s="8"/>
      <c r="O407" s="8"/>
      <c r="P407" s="8"/>
    </row>
    <row r="408" spans="1:16" ht="15" customHeight="1" x14ac:dyDescent="0.25">
      <c r="A408" s="8" t="s">
        <v>1874</v>
      </c>
      <c r="B408" s="8" t="s">
        <v>2678</v>
      </c>
      <c r="C408" s="8" t="s">
        <v>2679</v>
      </c>
      <c r="D408" s="29" t="s">
        <v>1877</v>
      </c>
      <c r="E408" s="8" t="s">
        <v>24</v>
      </c>
      <c r="F408" s="8" t="s">
        <v>24</v>
      </c>
      <c r="G408" s="25"/>
      <c r="H408" s="27"/>
      <c r="I408" s="8"/>
      <c r="J408" s="8"/>
      <c r="K408" s="8"/>
      <c r="L408" s="8"/>
      <c r="M408" s="8"/>
      <c r="N408" s="8"/>
      <c r="O408" s="8"/>
      <c r="P408" s="8"/>
    </row>
    <row r="409" spans="1:16" ht="15" customHeight="1" x14ac:dyDescent="0.25">
      <c r="A409" s="8" t="s">
        <v>1874</v>
      </c>
      <c r="B409" s="8" t="s">
        <v>2680</v>
      </c>
      <c r="C409" s="8" t="s">
        <v>2681</v>
      </c>
      <c r="D409" s="29" t="s">
        <v>1877</v>
      </c>
      <c r="E409" s="8" t="s">
        <v>195</v>
      </c>
      <c r="F409" s="8" t="s">
        <v>24</v>
      </c>
      <c r="G409" s="25"/>
      <c r="H409" s="27"/>
      <c r="I409" s="8"/>
      <c r="J409" s="8"/>
      <c r="K409" s="8"/>
      <c r="L409" s="8"/>
      <c r="M409" s="8"/>
      <c r="N409" s="8"/>
      <c r="O409" s="8"/>
      <c r="P409" s="8"/>
    </row>
    <row r="410" spans="1:16" ht="15" customHeight="1" x14ac:dyDescent="0.25">
      <c r="A410" s="8" t="s">
        <v>1878</v>
      </c>
      <c r="B410" s="8" t="s">
        <v>2682</v>
      </c>
      <c r="C410" s="8" t="s">
        <v>2683</v>
      </c>
      <c r="D410" s="29" t="s">
        <v>1881</v>
      </c>
      <c r="E410" s="8" t="s">
        <v>24</v>
      </c>
      <c r="F410" s="8" t="s">
        <v>24</v>
      </c>
      <c r="G410" s="25"/>
      <c r="H410" s="27"/>
      <c r="I410" s="8"/>
      <c r="J410" s="8"/>
      <c r="K410" s="8"/>
      <c r="L410" s="8"/>
      <c r="M410" s="8"/>
      <c r="N410" s="8"/>
      <c r="O410" s="8"/>
      <c r="P410" s="8"/>
    </row>
    <row r="411" spans="1:16" ht="30" x14ac:dyDescent="0.25">
      <c r="A411" s="8" t="s">
        <v>1878</v>
      </c>
      <c r="B411" s="8" t="s">
        <v>2684</v>
      </c>
      <c r="C411" s="8" t="s">
        <v>2685</v>
      </c>
      <c r="D411" s="29" t="s">
        <v>1881</v>
      </c>
      <c r="E411" s="8" t="s">
        <v>24</v>
      </c>
      <c r="F411" s="8" t="s">
        <v>24</v>
      </c>
      <c r="G411" s="25"/>
      <c r="H411" s="27"/>
      <c r="I411" s="8"/>
      <c r="J411" s="8"/>
      <c r="K411" s="8"/>
      <c r="L411" s="8"/>
      <c r="M411" s="8"/>
      <c r="N411" s="8"/>
      <c r="O411" s="8"/>
      <c r="P411" s="8"/>
    </row>
    <row r="412" spans="1:16" ht="30" x14ac:dyDescent="0.25">
      <c r="A412" s="8" t="s">
        <v>1878</v>
      </c>
      <c r="B412" s="8" t="s">
        <v>2686</v>
      </c>
      <c r="C412" s="8" t="s">
        <v>2687</v>
      </c>
      <c r="D412" s="29" t="s">
        <v>1881</v>
      </c>
      <c r="E412" s="8" t="s">
        <v>24</v>
      </c>
      <c r="F412" s="8" t="s">
        <v>24</v>
      </c>
      <c r="G412" s="25"/>
      <c r="H412" s="27"/>
      <c r="I412" s="8"/>
      <c r="J412" s="8"/>
      <c r="K412" s="8"/>
      <c r="L412" s="8"/>
      <c r="M412" s="8"/>
      <c r="N412" s="8"/>
      <c r="O412" s="8"/>
      <c r="P412" s="8"/>
    </row>
    <row r="413" spans="1:16" x14ac:dyDescent="0.25">
      <c r="A413" s="8" t="s">
        <v>1914</v>
      </c>
      <c r="B413" s="8" t="s">
        <v>2688</v>
      </c>
      <c r="C413" s="8" t="s">
        <v>2689</v>
      </c>
      <c r="D413" s="29" t="s">
        <v>1917</v>
      </c>
      <c r="E413" s="8" t="s">
        <v>195</v>
      </c>
      <c r="F413" s="8" t="s">
        <v>24</v>
      </c>
      <c r="G413" s="25"/>
      <c r="H413" s="27" t="str">
        <f>HYPERLINK("https://doc.morningstar.com/Document/bd7accf283f88c2e0f3ccde9c7334617.msdoc?clientid=fnz&amp;key=9c0e4d166b60ffd3","TMD")</f>
        <v>TMD</v>
      </c>
      <c r="I413" s="8" t="s">
        <v>25</v>
      </c>
      <c r="J413" s="8" t="s">
        <v>25</v>
      </c>
      <c r="K413" s="8" t="s">
        <v>25</v>
      </c>
      <c r="L413" s="8" t="s">
        <v>25</v>
      </c>
      <c r="M413" s="8" t="s">
        <v>26</v>
      </c>
      <c r="N413" s="8" t="s">
        <v>26</v>
      </c>
      <c r="O413" s="8" t="s">
        <v>27</v>
      </c>
      <c r="P413" s="8" t="s">
        <v>27</v>
      </c>
    </row>
    <row r="414" spans="1:16" x14ac:dyDescent="0.25">
      <c r="A414" s="8" t="s">
        <v>1874</v>
      </c>
      <c r="B414" s="8" t="s">
        <v>2690</v>
      </c>
      <c r="C414" s="8" t="s">
        <v>2691</v>
      </c>
      <c r="D414" s="29" t="s">
        <v>1877</v>
      </c>
      <c r="E414" s="8" t="s">
        <v>195</v>
      </c>
      <c r="F414" s="8" t="s">
        <v>24</v>
      </c>
      <c r="G414" s="25"/>
      <c r="H414" s="27"/>
      <c r="I414" s="8"/>
      <c r="J414" s="8"/>
      <c r="K414" s="8"/>
      <c r="L414" s="8"/>
      <c r="M414" s="8"/>
      <c r="N414" s="8"/>
      <c r="O414" s="8"/>
      <c r="P414" s="8"/>
    </row>
    <row r="415" spans="1:16" ht="15" customHeight="1" x14ac:dyDescent="0.25">
      <c r="A415" s="8" t="s">
        <v>1874</v>
      </c>
      <c r="B415" s="8" t="s">
        <v>2692</v>
      </c>
      <c r="C415" s="8" t="s">
        <v>2693</v>
      </c>
      <c r="D415" s="29" t="s">
        <v>1877</v>
      </c>
      <c r="E415" s="8" t="s">
        <v>195</v>
      </c>
      <c r="F415" s="8" t="s">
        <v>24</v>
      </c>
      <c r="G415" s="25"/>
      <c r="H415" s="27"/>
      <c r="I415" s="8"/>
      <c r="J415" s="8"/>
      <c r="K415" s="8"/>
      <c r="L415" s="8"/>
      <c r="M415" s="8"/>
      <c r="N415" s="8"/>
      <c r="O415" s="8"/>
      <c r="P415" s="8"/>
    </row>
    <row r="416" spans="1:16" x14ac:dyDescent="0.25">
      <c r="A416" s="8" t="s">
        <v>1874</v>
      </c>
      <c r="B416" s="8" t="s">
        <v>2694</v>
      </c>
      <c r="C416" s="8" t="s">
        <v>2695</v>
      </c>
      <c r="D416" s="29" t="s">
        <v>1877</v>
      </c>
      <c r="E416" s="8" t="s">
        <v>24</v>
      </c>
      <c r="F416" s="8" t="s">
        <v>24</v>
      </c>
      <c r="G416" s="25"/>
      <c r="H416" s="27"/>
      <c r="I416" s="8"/>
      <c r="J416" s="8"/>
      <c r="K416" s="8"/>
      <c r="L416" s="8"/>
      <c r="M416" s="8"/>
      <c r="N416" s="8"/>
      <c r="O416" s="8"/>
      <c r="P416" s="8"/>
    </row>
    <row r="417" spans="1:16" ht="30" x14ac:dyDescent="0.25">
      <c r="A417" s="8" t="s">
        <v>1878</v>
      </c>
      <c r="B417" s="8" t="s">
        <v>2696</v>
      </c>
      <c r="C417" s="8" t="s">
        <v>2697</v>
      </c>
      <c r="D417" s="29" t="s">
        <v>1881</v>
      </c>
      <c r="E417" s="8" t="s">
        <v>24</v>
      </c>
      <c r="F417" s="8" t="s">
        <v>24</v>
      </c>
      <c r="G417" s="25"/>
      <c r="H417" s="27"/>
      <c r="I417" s="8"/>
      <c r="J417" s="8"/>
      <c r="K417" s="8"/>
      <c r="L417" s="8"/>
      <c r="M417" s="8"/>
      <c r="N417" s="8"/>
      <c r="O417" s="8"/>
      <c r="P417" s="8"/>
    </row>
    <row r="418" spans="1:16" x14ac:dyDescent="0.25">
      <c r="A418" s="8" t="s">
        <v>1874</v>
      </c>
      <c r="B418" s="8" t="s">
        <v>2698</v>
      </c>
      <c r="C418" s="8" t="s">
        <v>2699</v>
      </c>
      <c r="D418" s="29" t="s">
        <v>1877</v>
      </c>
      <c r="E418" s="8" t="s">
        <v>195</v>
      </c>
      <c r="F418" s="8" t="s">
        <v>24</v>
      </c>
      <c r="G418" s="25"/>
      <c r="H418" s="27"/>
      <c r="I418" s="8"/>
      <c r="J418" s="8"/>
      <c r="K418" s="8"/>
      <c r="L418" s="8"/>
      <c r="M418" s="8"/>
      <c r="N418" s="8"/>
      <c r="O418" s="8"/>
      <c r="P418" s="8"/>
    </row>
    <row r="419" spans="1:16" x14ac:dyDescent="0.25">
      <c r="A419" s="8" t="s">
        <v>1914</v>
      </c>
      <c r="B419" s="8" t="s">
        <v>2700</v>
      </c>
      <c r="C419" s="8" t="s">
        <v>2701</v>
      </c>
      <c r="D419" s="29" t="s">
        <v>1917</v>
      </c>
      <c r="E419" s="8" t="s">
        <v>195</v>
      </c>
      <c r="F419" s="8" t="s">
        <v>24</v>
      </c>
      <c r="G419" s="25"/>
      <c r="H419" s="27" t="str">
        <f>HYPERLINK("https://doc.morningstar.com/Document/55beeffe05d416b61f88e6f36013b3f5.msdoc?clientid=fnz&amp;key=9c0e4d166b60ffd3","TMD")</f>
        <v>TMD</v>
      </c>
      <c r="I419" s="8" t="s">
        <v>25</v>
      </c>
      <c r="J419" s="8" t="s">
        <v>25</v>
      </c>
      <c r="K419" s="8" t="s">
        <v>25</v>
      </c>
      <c r="L419" s="8" t="s">
        <v>25</v>
      </c>
      <c r="M419" s="8" t="s">
        <v>25</v>
      </c>
      <c r="N419" s="8" t="s">
        <v>25</v>
      </c>
      <c r="O419" s="8" t="s">
        <v>25</v>
      </c>
      <c r="P419" s="8" t="s">
        <v>25</v>
      </c>
    </row>
    <row r="420" spans="1:16" x14ac:dyDescent="0.25">
      <c r="A420" s="8" t="s">
        <v>1914</v>
      </c>
      <c r="B420" s="8" t="s">
        <v>2702</v>
      </c>
      <c r="C420" s="8" t="s">
        <v>2703</v>
      </c>
      <c r="D420" s="29" t="s">
        <v>1917</v>
      </c>
      <c r="E420" s="8" t="s">
        <v>195</v>
      </c>
      <c r="F420" s="8" t="s">
        <v>24</v>
      </c>
      <c r="G420" s="25"/>
      <c r="H420" s="27" t="str">
        <f>HYPERLINK("https://doc.morningstar.com/Document/eeaabfbe9a86dbfcbd05a107a24e7d71.msdoc?clientid=fnz&amp;key=9c0e4d166b60ffd3","TMD")</f>
        <v>TMD</v>
      </c>
      <c r="I420" s="8" t="s">
        <v>25</v>
      </c>
      <c r="J420" s="8" t="s">
        <v>25</v>
      </c>
      <c r="K420" s="8" t="s">
        <v>25</v>
      </c>
      <c r="L420" s="8" t="s">
        <v>25</v>
      </c>
      <c r="M420" s="8" t="s">
        <v>26</v>
      </c>
      <c r="N420" s="8" t="s">
        <v>26</v>
      </c>
      <c r="O420" s="8" t="s">
        <v>27</v>
      </c>
      <c r="P420" s="8" t="s">
        <v>27</v>
      </c>
    </row>
    <row r="421" spans="1:16" x14ac:dyDescent="0.25">
      <c r="A421" s="8" t="s">
        <v>1874</v>
      </c>
      <c r="B421" s="8" t="s">
        <v>2704</v>
      </c>
      <c r="C421" s="8" t="s">
        <v>2705</v>
      </c>
      <c r="D421" s="29" t="s">
        <v>1877</v>
      </c>
      <c r="E421" s="8" t="s">
        <v>195</v>
      </c>
      <c r="F421" s="8" t="s">
        <v>24</v>
      </c>
      <c r="G421" s="25"/>
      <c r="H421" s="27"/>
      <c r="I421" s="8"/>
      <c r="J421" s="8"/>
      <c r="K421" s="8"/>
      <c r="L421" s="8"/>
      <c r="M421" s="8"/>
      <c r="N421" s="8"/>
      <c r="O421" s="8"/>
      <c r="P421" s="8"/>
    </row>
    <row r="422" spans="1:16" x14ac:dyDescent="0.25">
      <c r="A422" s="8" t="s">
        <v>1874</v>
      </c>
      <c r="B422" s="8" t="s">
        <v>2706</v>
      </c>
      <c r="C422" s="8" t="s">
        <v>2707</v>
      </c>
      <c r="D422" s="29" t="s">
        <v>1877</v>
      </c>
      <c r="E422" s="8" t="s">
        <v>195</v>
      </c>
      <c r="F422" s="8" t="s">
        <v>24</v>
      </c>
      <c r="G422" s="25">
        <v>100</v>
      </c>
      <c r="H422" s="27"/>
      <c r="I422" s="8"/>
      <c r="J422" s="8"/>
      <c r="K422" s="8"/>
      <c r="L422" s="8"/>
      <c r="M422" s="8"/>
      <c r="N422" s="8"/>
      <c r="O422" s="8"/>
      <c r="P422" s="8"/>
    </row>
    <row r="423" spans="1:16" x14ac:dyDescent="0.25">
      <c r="A423" s="8" t="s">
        <v>1874</v>
      </c>
      <c r="B423" s="8" t="s">
        <v>2708</v>
      </c>
      <c r="C423" s="8" t="s">
        <v>2709</v>
      </c>
      <c r="D423" s="29" t="s">
        <v>1877</v>
      </c>
      <c r="E423" s="8" t="s">
        <v>195</v>
      </c>
      <c r="F423" s="8" t="s">
        <v>24</v>
      </c>
      <c r="G423" s="25">
        <v>100</v>
      </c>
      <c r="H423" s="27"/>
      <c r="I423" s="8"/>
      <c r="J423" s="8"/>
      <c r="K423" s="8"/>
      <c r="L423" s="8"/>
      <c r="M423" s="8"/>
      <c r="N423" s="8"/>
      <c r="O423" s="8"/>
      <c r="P423" s="8"/>
    </row>
    <row r="424" spans="1:16" x14ac:dyDescent="0.25">
      <c r="A424" s="8" t="s">
        <v>1874</v>
      </c>
      <c r="B424" s="8" t="s">
        <v>2710</v>
      </c>
      <c r="C424" s="8" t="s">
        <v>2711</v>
      </c>
      <c r="D424" s="29" t="s">
        <v>1877</v>
      </c>
      <c r="E424" s="8" t="s">
        <v>24</v>
      </c>
      <c r="F424" s="8" t="s">
        <v>24</v>
      </c>
      <c r="G424" s="25"/>
      <c r="H424" s="27"/>
      <c r="I424" s="8"/>
      <c r="J424" s="8"/>
      <c r="K424" s="8"/>
      <c r="L424" s="8"/>
      <c r="M424" s="8"/>
      <c r="N424" s="8"/>
      <c r="O424" s="8"/>
      <c r="P424" s="8"/>
    </row>
    <row r="425" spans="1:16" x14ac:dyDescent="0.25">
      <c r="A425" s="8" t="s">
        <v>1874</v>
      </c>
      <c r="B425" s="8" t="s">
        <v>2712</v>
      </c>
      <c r="C425" s="8" t="s">
        <v>2713</v>
      </c>
      <c r="D425" s="29" t="s">
        <v>1877</v>
      </c>
      <c r="E425" s="8" t="s">
        <v>24</v>
      </c>
      <c r="F425" s="8" t="s">
        <v>24</v>
      </c>
      <c r="G425" s="25"/>
      <c r="H425" s="27"/>
      <c r="I425" s="8"/>
      <c r="J425" s="8"/>
      <c r="K425" s="8"/>
      <c r="L425" s="8"/>
      <c r="M425" s="8"/>
      <c r="N425" s="8"/>
      <c r="O425" s="8"/>
      <c r="P425" s="8"/>
    </row>
    <row r="426" spans="1:16" x14ac:dyDescent="0.25">
      <c r="A426" s="8" t="s">
        <v>1874</v>
      </c>
      <c r="B426" s="8" t="s">
        <v>2714</v>
      </c>
      <c r="C426" s="8" t="s">
        <v>2715</v>
      </c>
      <c r="D426" s="29" t="s">
        <v>1877</v>
      </c>
      <c r="E426" s="8" t="s">
        <v>24</v>
      </c>
      <c r="F426" s="8" t="s">
        <v>24</v>
      </c>
      <c r="G426" s="25"/>
      <c r="H426" s="27"/>
      <c r="I426" s="8"/>
      <c r="J426" s="8"/>
      <c r="K426" s="8"/>
      <c r="L426" s="8"/>
      <c r="M426" s="8"/>
      <c r="N426" s="8"/>
      <c r="O426" s="8"/>
      <c r="P426" s="8"/>
    </row>
    <row r="427" spans="1:16" x14ac:dyDescent="0.25">
      <c r="A427" s="8" t="s">
        <v>1874</v>
      </c>
      <c r="B427" s="8" t="s">
        <v>2716</v>
      </c>
      <c r="C427" s="8" t="s">
        <v>2717</v>
      </c>
      <c r="D427" s="29" t="s">
        <v>1877</v>
      </c>
      <c r="E427" s="8" t="s">
        <v>195</v>
      </c>
      <c r="F427" s="8" t="s">
        <v>24</v>
      </c>
      <c r="G427" s="25"/>
      <c r="H427" s="27"/>
      <c r="I427" s="8"/>
      <c r="J427" s="8"/>
      <c r="K427" s="8"/>
      <c r="L427" s="8"/>
      <c r="M427" s="8"/>
      <c r="N427" s="8"/>
      <c r="O427" s="8"/>
      <c r="P427" s="8"/>
    </row>
    <row r="428" spans="1:16" x14ac:dyDescent="0.25">
      <c r="A428" s="8" t="s">
        <v>1874</v>
      </c>
      <c r="B428" s="8" t="s">
        <v>2718</v>
      </c>
      <c r="C428" s="8" t="s">
        <v>2719</v>
      </c>
      <c r="D428" s="29" t="s">
        <v>1877</v>
      </c>
      <c r="E428" s="8" t="s">
        <v>24</v>
      </c>
      <c r="F428" s="8" t="s">
        <v>24</v>
      </c>
      <c r="G428" s="25"/>
      <c r="H428" s="27"/>
      <c r="I428" s="8"/>
      <c r="J428" s="8"/>
      <c r="K428" s="8"/>
      <c r="L428" s="8"/>
      <c r="M428" s="8"/>
      <c r="N428" s="8"/>
      <c r="O428" s="8"/>
      <c r="P428" s="8"/>
    </row>
    <row r="429" spans="1:16" x14ac:dyDescent="0.25">
      <c r="A429" s="8" t="s">
        <v>1874</v>
      </c>
      <c r="B429" s="8" t="s">
        <v>2720</v>
      </c>
      <c r="C429" s="8" t="s">
        <v>2721</v>
      </c>
      <c r="D429" s="29" t="s">
        <v>1877</v>
      </c>
      <c r="E429" s="8" t="s">
        <v>195</v>
      </c>
      <c r="F429" s="8" t="s">
        <v>24</v>
      </c>
      <c r="G429" s="25"/>
      <c r="H429" s="27"/>
      <c r="I429" s="8"/>
      <c r="J429" s="8"/>
      <c r="K429" s="8"/>
      <c r="L429" s="8"/>
      <c r="M429" s="8"/>
      <c r="N429" s="8"/>
      <c r="O429" s="8"/>
      <c r="P429" s="8"/>
    </row>
    <row r="430" spans="1:16" x14ac:dyDescent="0.25">
      <c r="A430" s="8" t="s">
        <v>1874</v>
      </c>
      <c r="B430" s="8" t="s">
        <v>2722</v>
      </c>
      <c r="C430" s="8" t="s">
        <v>2723</v>
      </c>
      <c r="D430" s="29" t="s">
        <v>1877</v>
      </c>
      <c r="E430" s="8" t="s">
        <v>195</v>
      </c>
      <c r="F430" s="8" t="s">
        <v>24</v>
      </c>
      <c r="G430" s="25"/>
      <c r="H430" s="27"/>
      <c r="I430" s="8"/>
      <c r="J430" s="8"/>
      <c r="K430" s="8"/>
      <c r="L430" s="8"/>
      <c r="M430" s="8"/>
      <c r="N430" s="8"/>
      <c r="O430" s="8"/>
      <c r="P430" s="8"/>
    </row>
    <row r="431" spans="1:16" x14ac:dyDescent="0.25">
      <c r="A431" s="8" t="s">
        <v>1874</v>
      </c>
      <c r="B431" s="8" t="s">
        <v>2724</v>
      </c>
      <c r="C431" s="8" t="s">
        <v>2725</v>
      </c>
      <c r="D431" s="29" t="s">
        <v>1877</v>
      </c>
      <c r="E431" s="8" t="s">
        <v>195</v>
      </c>
      <c r="F431" s="8" t="s">
        <v>24</v>
      </c>
      <c r="G431" s="25"/>
      <c r="H431" s="27"/>
      <c r="I431" s="8"/>
      <c r="J431" s="8"/>
      <c r="K431" s="8"/>
      <c r="L431" s="8"/>
      <c r="M431" s="8"/>
      <c r="N431" s="8"/>
      <c r="O431" s="8"/>
      <c r="P431" s="8"/>
    </row>
    <row r="432" spans="1:16" x14ac:dyDescent="0.25">
      <c r="A432" s="8" t="s">
        <v>1874</v>
      </c>
      <c r="B432" s="8" t="s">
        <v>2726</v>
      </c>
      <c r="C432" s="8" t="s">
        <v>2727</v>
      </c>
      <c r="D432" s="29" t="s">
        <v>1877</v>
      </c>
      <c r="E432" s="8" t="s">
        <v>195</v>
      </c>
      <c r="F432" s="8" t="s">
        <v>24</v>
      </c>
      <c r="G432" s="25"/>
      <c r="H432" s="27"/>
      <c r="I432" s="8"/>
      <c r="J432" s="8"/>
      <c r="K432" s="8"/>
      <c r="L432" s="8"/>
      <c r="M432" s="8"/>
      <c r="N432" s="8"/>
      <c r="O432" s="8"/>
      <c r="P432" s="8"/>
    </row>
    <row r="433" spans="1:16" x14ac:dyDescent="0.25">
      <c r="A433" s="8" t="s">
        <v>1874</v>
      </c>
      <c r="B433" s="8" t="s">
        <v>2728</v>
      </c>
      <c r="C433" s="8" t="s">
        <v>2729</v>
      </c>
      <c r="D433" s="29" t="s">
        <v>1913</v>
      </c>
      <c r="E433" s="8" t="s">
        <v>195</v>
      </c>
      <c r="F433" s="8" t="s">
        <v>24</v>
      </c>
      <c r="G433" s="25"/>
      <c r="H433" s="27"/>
      <c r="I433" s="8"/>
      <c r="J433" s="8"/>
      <c r="K433" s="8"/>
      <c r="L433" s="8"/>
      <c r="M433" s="8"/>
      <c r="N433" s="8"/>
      <c r="O433" s="8"/>
      <c r="P433" s="8"/>
    </row>
    <row r="434" spans="1:16" x14ac:dyDescent="0.25">
      <c r="A434" s="8" t="s">
        <v>1874</v>
      </c>
      <c r="B434" s="8" t="s">
        <v>2730</v>
      </c>
      <c r="C434" s="8" t="s">
        <v>2731</v>
      </c>
      <c r="D434" s="29" t="s">
        <v>1877</v>
      </c>
      <c r="E434" s="8" t="s">
        <v>24</v>
      </c>
      <c r="F434" s="8" t="s">
        <v>24</v>
      </c>
      <c r="G434" s="25"/>
      <c r="H434" s="27"/>
      <c r="I434" s="8"/>
      <c r="J434" s="8"/>
      <c r="K434" s="8"/>
      <c r="L434" s="8"/>
      <c r="M434" s="8"/>
      <c r="N434" s="8"/>
      <c r="O434" s="8"/>
      <c r="P434" s="8"/>
    </row>
    <row r="435" spans="1:16" x14ac:dyDescent="0.25">
      <c r="A435" s="8" t="s">
        <v>1874</v>
      </c>
      <c r="B435" s="8" t="s">
        <v>2732</v>
      </c>
      <c r="C435" s="8" t="s">
        <v>2733</v>
      </c>
      <c r="D435" s="29" t="s">
        <v>1877</v>
      </c>
      <c r="E435" s="8" t="s">
        <v>24</v>
      </c>
      <c r="F435" s="8" t="s">
        <v>24</v>
      </c>
      <c r="G435" s="25"/>
      <c r="H435" s="27"/>
      <c r="I435" s="8"/>
      <c r="J435" s="8"/>
      <c r="K435" s="8"/>
      <c r="L435" s="8"/>
      <c r="M435" s="8"/>
      <c r="N435" s="8"/>
      <c r="O435" s="8"/>
      <c r="P435" s="8"/>
    </row>
    <row r="436" spans="1:16" x14ac:dyDescent="0.25">
      <c r="A436" s="8" t="s">
        <v>1874</v>
      </c>
      <c r="B436" s="8" t="s">
        <v>2734</v>
      </c>
      <c r="C436" s="8" t="s">
        <v>2735</v>
      </c>
      <c r="D436" s="29" t="s">
        <v>1877</v>
      </c>
      <c r="E436" s="8" t="s">
        <v>24</v>
      </c>
      <c r="F436" s="8" t="s">
        <v>24</v>
      </c>
      <c r="G436" s="25"/>
      <c r="H436" s="27"/>
      <c r="I436" s="8"/>
      <c r="J436" s="8"/>
      <c r="K436" s="8"/>
      <c r="L436" s="8"/>
      <c r="M436" s="8"/>
      <c r="N436" s="8"/>
      <c r="O436" s="8"/>
      <c r="P436" s="8"/>
    </row>
    <row r="437" spans="1:16" x14ac:dyDescent="0.25">
      <c r="A437" s="8" t="s">
        <v>1874</v>
      </c>
      <c r="B437" s="8" t="s">
        <v>2736</v>
      </c>
      <c r="C437" s="8" t="s">
        <v>2737</v>
      </c>
      <c r="D437" s="29" t="s">
        <v>1894</v>
      </c>
      <c r="E437" s="8" t="s">
        <v>195</v>
      </c>
      <c r="F437" s="8" t="s">
        <v>24</v>
      </c>
      <c r="G437" s="25"/>
      <c r="H437" s="27"/>
      <c r="I437" s="8"/>
      <c r="J437" s="8"/>
      <c r="K437" s="8"/>
      <c r="L437" s="8"/>
      <c r="M437" s="8"/>
      <c r="N437" s="8"/>
      <c r="O437" s="8"/>
      <c r="P437" s="8"/>
    </row>
    <row r="438" spans="1:16" x14ac:dyDescent="0.25">
      <c r="A438" s="8" t="s">
        <v>1874</v>
      </c>
      <c r="B438" s="8" t="s">
        <v>2738</v>
      </c>
      <c r="C438" s="8" t="s">
        <v>2739</v>
      </c>
      <c r="D438" s="29" t="s">
        <v>1877</v>
      </c>
      <c r="E438" s="8" t="s">
        <v>195</v>
      </c>
      <c r="F438" s="8" t="s">
        <v>24</v>
      </c>
      <c r="G438" s="25"/>
      <c r="H438" s="27"/>
      <c r="I438" s="8"/>
      <c r="J438" s="8"/>
      <c r="K438" s="8"/>
      <c r="L438" s="8"/>
      <c r="M438" s="8"/>
      <c r="N438" s="8"/>
      <c r="O438" s="8"/>
      <c r="P438" s="8"/>
    </row>
    <row r="439" spans="1:16" x14ac:dyDescent="0.25">
      <c r="A439" s="8" t="s">
        <v>1874</v>
      </c>
      <c r="B439" s="8" t="s">
        <v>2740</v>
      </c>
      <c r="C439" s="8" t="s">
        <v>2741</v>
      </c>
      <c r="D439" s="29" t="s">
        <v>1877</v>
      </c>
      <c r="E439" s="8" t="s">
        <v>195</v>
      </c>
      <c r="F439" s="8" t="s">
        <v>24</v>
      </c>
      <c r="G439" s="25"/>
      <c r="H439" s="27"/>
      <c r="I439" s="8"/>
      <c r="J439" s="8"/>
      <c r="K439" s="8"/>
      <c r="L439" s="8"/>
      <c r="M439" s="8"/>
      <c r="N439" s="8"/>
      <c r="O439" s="8"/>
      <c r="P439" s="8"/>
    </row>
    <row r="440" spans="1:16" ht="15" customHeight="1" x14ac:dyDescent="0.25">
      <c r="A440" s="8" t="s">
        <v>1878</v>
      </c>
      <c r="B440" s="8" t="s">
        <v>2742</v>
      </c>
      <c r="C440" s="8" t="s">
        <v>2743</v>
      </c>
      <c r="D440" s="29" t="s">
        <v>1881</v>
      </c>
      <c r="E440" s="8" t="s">
        <v>195</v>
      </c>
      <c r="F440" s="8" t="s">
        <v>24</v>
      </c>
      <c r="G440" s="25"/>
      <c r="H440" s="27"/>
      <c r="I440" s="8"/>
      <c r="J440" s="8"/>
      <c r="K440" s="8"/>
      <c r="L440" s="8"/>
      <c r="M440" s="8"/>
      <c r="N440" s="8"/>
      <c r="O440" s="8"/>
      <c r="P440" s="8"/>
    </row>
    <row r="441" spans="1:16" x14ac:dyDescent="0.25">
      <c r="A441" s="8" t="s">
        <v>1874</v>
      </c>
      <c r="B441" s="8" t="s">
        <v>2744</v>
      </c>
      <c r="C441" s="8" t="s">
        <v>2745</v>
      </c>
      <c r="D441" s="29" t="s">
        <v>2030</v>
      </c>
      <c r="E441" s="8" t="s">
        <v>195</v>
      </c>
      <c r="F441" s="8" t="s">
        <v>24</v>
      </c>
      <c r="G441" s="25"/>
      <c r="H441" s="27"/>
      <c r="I441" s="8"/>
      <c r="J441" s="8"/>
      <c r="K441" s="8"/>
      <c r="L441" s="8"/>
      <c r="M441" s="8"/>
      <c r="N441" s="8"/>
      <c r="O441" s="8"/>
      <c r="P441" s="8"/>
    </row>
    <row r="442" spans="1:16" x14ac:dyDescent="0.25">
      <c r="A442" s="8" t="s">
        <v>1874</v>
      </c>
      <c r="B442" s="8" t="s">
        <v>2746</v>
      </c>
      <c r="C442" s="8" t="s">
        <v>2747</v>
      </c>
      <c r="D442" s="29" t="s">
        <v>1877</v>
      </c>
      <c r="E442" s="8" t="s">
        <v>24</v>
      </c>
      <c r="F442" s="8" t="s">
        <v>24</v>
      </c>
      <c r="G442" s="25"/>
      <c r="H442" s="27"/>
      <c r="I442" s="8"/>
      <c r="J442" s="8"/>
      <c r="K442" s="8"/>
      <c r="L442" s="8"/>
      <c r="M442" s="8"/>
      <c r="N442" s="8"/>
      <c r="O442" s="8"/>
      <c r="P442" s="8"/>
    </row>
    <row r="443" spans="1:16" x14ac:dyDescent="0.25">
      <c r="A443" s="8" t="s">
        <v>1874</v>
      </c>
      <c r="B443" s="8" t="s">
        <v>2748</v>
      </c>
      <c r="C443" s="8" t="s">
        <v>2749</v>
      </c>
      <c r="D443" s="29" t="s">
        <v>1877</v>
      </c>
      <c r="E443" s="8" t="s">
        <v>195</v>
      </c>
      <c r="F443" s="8" t="s">
        <v>24</v>
      </c>
      <c r="G443" s="25"/>
      <c r="H443" s="27"/>
      <c r="I443" s="8"/>
      <c r="J443" s="8"/>
      <c r="K443" s="8"/>
      <c r="L443" s="8"/>
      <c r="M443" s="8"/>
      <c r="N443" s="8"/>
      <c r="O443" s="8"/>
      <c r="P443" s="8"/>
    </row>
    <row r="444" spans="1:16" x14ac:dyDescent="0.25">
      <c r="A444" s="8" t="s">
        <v>1874</v>
      </c>
      <c r="B444" s="8" t="s">
        <v>2750</v>
      </c>
      <c r="C444" s="8" t="s">
        <v>2751</v>
      </c>
      <c r="D444" s="29" t="s">
        <v>1877</v>
      </c>
      <c r="E444" s="8" t="s">
        <v>195</v>
      </c>
      <c r="F444" s="8" t="s">
        <v>24</v>
      </c>
      <c r="G444" s="25"/>
      <c r="H444" s="27"/>
      <c r="I444" s="8"/>
      <c r="J444" s="8"/>
      <c r="K444" s="8"/>
      <c r="L444" s="8"/>
      <c r="M444" s="8"/>
      <c r="N444" s="8"/>
      <c r="O444" s="8"/>
      <c r="P444" s="8"/>
    </row>
    <row r="445" spans="1:16" x14ac:dyDescent="0.25">
      <c r="A445" s="8" t="s">
        <v>1874</v>
      </c>
      <c r="B445" s="8" t="s">
        <v>2752</v>
      </c>
      <c r="C445" s="8" t="s">
        <v>2753</v>
      </c>
      <c r="D445" s="29" t="s">
        <v>1877</v>
      </c>
      <c r="E445" s="8" t="s">
        <v>195</v>
      </c>
      <c r="F445" s="8" t="s">
        <v>24</v>
      </c>
      <c r="G445" s="25"/>
      <c r="H445" s="27"/>
      <c r="I445" s="8"/>
      <c r="J445" s="8"/>
      <c r="K445" s="8"/>
      <c r="L445" s="8"/>
      <c r="M445" s="8"/>
      <c r="N445" s="8"/>
      <c r="O445" s="8"/>
      <c r="P445" s="8"/>
    </row>
    <row r="446" spans="1:16" x14ac:dyDescent="0.25">
      <c r="A446" s="8" t="s">
        <v>1874</v>
      </c>
      <c r="B446" s="8" t="s">
        <v>2754</v>
      </c>
      <c r="C446" s="8" t="s">
        <v>2755</v>
      </c>
      <c r="D446" s="29" t="s">
        <v>1877</v>
      </c>
      <c r="E446" s="8" t="s">
        <v>195</v>
      </c>
      <c r="F446" s="8" t="s">
        <v>24</v>
      </c>
      <c r="G446" s="25"/>
      <c r="H446" s="27"/>
      <c r="I446" s="8"/>
      <c r="J446" s="8"/>
      <c r="K446" s="8"/>
      <c r="L446" s="8"/>
      <c r="M446" s="8"/>
      <c r="N446" s="8"/>
      <c r="O446" s="8"/>
      <c r="P446" s="8"/>
    </row>
    <row r="447" spans="1:16" x14ac:dyDescent="0.25">
      <c r="A447" s="8" t="s">
        <v>1874</v>
      </c>
      <c r="B447" s="8" t="s">
        <v>2756</v>
      </c>
      <c r="C447" s="8" t="s">
        <v>2757</v>
      </c>
      <c r="D447" s="29" t="s">
        <v>1877</v>
      </c>
      <c r="E447" s="8" t="s">
        <v>195</v>
      </c>
      <c r="F447" s="8" t="s">
        <v>24</v>
      </c>
      <c r="G447" s="25"/>
      <c r="H447" s="27"/>
      <c r="I447" s="8"/>
      <c r="J447" s="8"/>
      <c r="K447" s="8"/>
      <c r="L447" s="8"/>
      <c r="M447" s="8"/>
      <c r="N447" s="8"/>
      <c r="O447" s="8"/>
      <c r="P447" s="8"/>
    </row>
    <row r="448" spans="1:16" x14ac:dyDescent="0.25">
      <c r="A448" s="8" t="s">
        <v>1914</v>
      </c>
      <c r="B448" s="8" t="s">
        <v>2758</v>
      </c>
      <c r="C448" s="8" t="s">
        <v>2759</v>
      </c>
      <c r="D448" s="29" t="s">
        <v>1917</v>
      </c>
      <c r="E448" s="8" t="s">
        <v>195</v>
      </c>
      <c r="F448" s="8" t="s">
        <v>24</v>
      </c>
      <c r="G448" s="25"/>
      <c r="H448" s="27" t="str">
        <f>HYPERLINK("https://doc.morningstar.com/Document/8e83bf6563cee6784faf0ce6657043d7.msdoc?clientid=fnz&amp;key=9c0e4d166b60ffd3","TMD")</f>
        <v>TMD</v>
      </c>
      <c r="I448" s="8" t="s">
        <v>25</v>
      </c>
      <c r="J448" s="8" t="s">
        <v>25</v>
      </c>
      <c r="K448" s="8" t="s">
        <v>25</v>
      </c>
      <c r="L448" s="8" t="s">
        <v>25</v>
      </c>
      <c r="M448" s="8" t="s">
        <v>26</v>
      </c>
      <c r="N448" s="8" t="s">
        <v>26</v>
      </c>
      <c r="O448" s="8" t="s">
        <v>26</v>
      </c>
      <c r="P448" s="8" t="s">
        <v>27</v>
      </c>
    </row>
    <row r="449" spans="1:16" x14ac:dyDescent="0.25">
      <c r="A449" s="8" t="s">
        <v>1914</v>
      </c>
      <c r="B449" s="8" t="s">
        <v>2760</v>
      </c>
      <c r="C449" s="8" t="s">
        <v>2761</v>
      </c>
      <c r="D449" s="29" t="s">
        <v>1917</v>
      </c>
      <c r="E449" s="8" t="s">
        <v>195</v>
      </c>
      <c r="F449" s="8" t="s">
        <v>24</v>
      </c>
      <c r="G449" s="25"/>
      <c r="H449" s="27" t="str">
        <f>HYPERLINK("https://doc.morningstar.com/Document/5b9b1d8b8e60fa03fae00e92d458998d.msdoc?clientid=fnz&amp;key=9c0e4d166b60ffd3","TMD")</f>
        <v>TMD</v>
      </c>
      <c r="I449" s="8" t="s">
        <v>25</v>
      </c>
      <c r="J449" s="8" t="s">
        <v>25</v>
      </c>
      <c r="K449" s="8" t="s">
        <v>25</v>
      </c>
      <c r="L449" s="8" t="s">
        <v>25</v>
      </c>
      <c r="M449" s="8" t="s">
        <v>27</v>
      </c>
      <c r="N449" s="8" t="s">
        <v>26</v>
      </c>
      <c r="O449" s="8" t="s">
        <v>26</v>
      </c>
      <c r="P449" s="8" t="s">
        <v>26</v>
      </c>
    </row>
    <row r="450" spans="1:16" x14ac:dyDescent="0.25">
      <c r="A450" s="8" t="s">
        <v>1874</v>
      </c>
      <c r="B450" s="8" t="s">
        <v>2762</v>
      </c>
      <c r="C450" s="8" t="s">
        <v>2763</v>
      </c>
      <c r="D450" s="29" t="s">
        <v>1877</v>
      </c>
      <c r="E450" s="8" t="s">
        <v>195</v>
      </c>
      <c r="F450" s="8" t="s">
        <v>24</v>
      </c>
      <c r="G450" s="25"/>
      <c r="H450" s="27"/>
      <c r="I450" s="8"/>
      <c r="J450" s="8"/>
      <c r="K450" s="8"/>
      <c r="L450" s="8"/>
      <c r="M450" s="8"/>
      <c r="N450" s="8"/>
      <c r="O450" s="8"/>
      <c r="P450" s="8"/>
    </row>
    <row r="451" spans="1:16" x14ac:dyDescent="0.25">
      <c r="A451" s="8" t="s">
        <v>1874</v>
      </c>
      <c r="B451" s="8" t="s">
        <v>2764</v>
      </c>
      <c r="C451" s="8" t="s">
        <v>2765</v>
      </c>
      <c r="D451" s="29" t="s">
        <v>1877</v>
      </c>
      <c r="E451" s="8" t="s">
        <v>24</v>
      </c>
      <c r="F451" s="8" t="s">
        <v>24</v>
      </c>
      <c r="G451" s="25"/>
      <c r="H451" s="27"/>
      <c r="I451" s="8"/>
      <c r="J451" s="8"/>
      <c r="K451" s="8"/>
      <c r="L451" s="8"/>
      <c r="M451" s="8"/>
      <c r="N451" s="8"/>
      <c r="O451" s="8"/>
      <c r="P451" s="8"/>
    </row>
    <row r="452" spans="1:16" x14ac:dyDescent="0.25">
      <c r="A452" s="8" t="s">
        <v>1874</v>
      </c>
      <c r="B452" s="8" t="s">
        <v>2766</v>
      </c>
      <c r="C452" s="8" t="s">
        <v>2767</v>
      </c>
      <c r="D452" s="29" t="s">
        <v>1877</v>
      </c>
      <c r="E452" s="8" t="s">
        <v>195</v>
      </c>
      <c r="F452" s="8" t="s">
        <v>24</v>
      </c>
      <c r="G452" s="25"/>
      <c r="H452" s="27"/>
      <c r="I452" s="8"/>
      <c r="J452" s="8"/>
      <c r="K452" s="8"/>
      <c r="L452" s="8"/>
      <c r="M452" s="8"/>
      <c r="N452" s="8"/>
      <c r="O452" s="8"/>
      <c r="P452" s="8"/>
    </row>
    <row r="453" spans="1:16" x14ac:dyDescent="0.25">
      <c r="A453" s="8" t="s">
        <v>1874</v>
      </c>
      <c r="B453" s="8" t="s">
        <v>2768</v>
      </c>
      <c r="C453" s="8" t="s">
        <v>2769</v>
      </c>
      <c r="D453" s="29" t="s">
        <v>1877</v>
      </c>
      <c r="E453" s="8" t="s">
        <v>195</v>
      </c>
      <c r="F453" s="8" t="s">
        <v>24</v>
      </c>
      <c r="G453" s="25"/>
      <c r="H453" s="27"/>
      <c r="I453" s="8"/>
      <c r="J453" s="8"/>
      <c r="K453" s="8"/>
      <c r="L453" s="8"/>
      <c r="M453" s="8"/>
      <c r="N453" s="8"/>
      <c r="O453" s="8"/>
      <c r="P453" s="8"/>
    </row>
    <row r="454" spans="1:16" x14ac:dyDescent="0.25">
      <c r="A454" s="8" t="s">
        <v>1874</v>
      </c>
      <c r="B454" s="8" t="s">
        <v>2770</v>
      </c>
      <c r="C454" s="8" t="s">
        <v>2771</v>
      </c>
      <c r="D454" s="29" t="s">
        <v>1877</v>
      </c>
      <c r="E454" s="8" t="s">
        <v>195</v>
      </c>
      <c r="F454" s="8" t="s">
        <v>24</v>
      </c>
      <c r="G454" s="25"/>
      <c r="H454" s="27"/>
      <c r="I454" s="8"/>
      <c r="J454" s="8"/>
      <c r="K454" s="8"/>
      <c r="L454" s="8"/>
      <c r="M454" s="8"/>
      <c r="N454" s="8"/>
      <c r="O454" s="8"/>
      <c r="P454" s="8"/>
    </row>
    <row r="455" spans="1:16" x14ac:dyDescent="0.25">
      <c r="A455" s="8" t="s">
        <v>1874</v>
      </c>
      <c r="B455" s="8" t="s">
        <v>2772</v>
      </c>
      <c r="C455" s="8" t="s">
        <v>2773</v>
      </c>
      <c r="D455" s="29" t="s">
        <v>1877</v>
      </c>
      <c r="E455" s="8" t="s">
        <v>24</v>
      </c>
      <c r="F455" s="8" t="s">
        <v>24</v>
      </c>
      <c r="G455" s="25"/>
      <c r="H455" s="27"/>
      <c r="I455" s="8"/>
      <c r="J455" s="8"/>
      <c r="K455" s="8"/>
      <c r="L455" s="8"/>
      <c r="M455" s="8"/>
      <c r="N455" s="8"/>
      <c r="O455" s="8"/>
      <c r="P455" s="8"/>
    </row>
    <row r="456" spans="1:16" x14ac:dyDescent="0.25">
      <c r="A456" s="8" t="s">
        <v>1874</v>
      </c>
      <c r="B456" s="8" t="s">
        <v>2774</v>
      </c>
      <c r="C456" s="8" t="s">
        <v>2775</v>
      </c>
      <c r="D456" s="29" t="s">
        <v>1877</v>
      </c>
      <c r="E456" s="8" t="s">
        <v>195</v>
      </c>
      <c r="F456" s="8" t="s">
        <v>24</v>
      </c>
      <c r="G456" s="25"/>
      <c r="H456" s="27"/>
      <c r="I456" s="8"/>
      <c r="J456" s="8"/>
      <c r="K456" s="8"/>
      <c r="L456" s="8"/>
      <c r="M456" s="8"/>
      <c r="N456" s="8"/>
      <c r="O456" s="8"/>
      <c r="P456" s="8"/>
    </row>
    <row r="457" spans="1:16" x14ac:dyDescent="0.25">
      <c r="A457" s="8" t="s">
        <v>1874</v>
      </c>
      <c r="B457" s="8" t="s">
        <v>2776</v>
      </c>
      <c r="C457" s="8" t="s">
        <v>2777</v>
      </c>
      <c r="D457" s="29" t="s">
        <v>1877</v>
      </c>
      <c r="E457" s="8" t="s">
        <v>195</v>
      </c>
      <c r="F457" s="8" t="s">
        <v>24</v>
      </c>
      <c r="G457" s="25"/>
      <c r="H457" s="27"/>
      <c r="I457" s="8"/>
      <c r="J457" s="8"/>
      <c r="K457" s="8"/>
      <c r="L457" s="8"/>
      <c r="M457" s="8"/>
      <c r="N457" s="8"/>
      <c r="O457" s="8"/>
      <c r="P457" s="8"/>
    </row>
    <row r="458" spans="1:16" x14ac:dyDescent="0.25">
      <c r="A458" s="8" t="s">
        <v>1874</v>
      </c>
      <c r="B458" s="8" t="s">
        <v>2778</v>
      </c>
      <c r="C458" s="8" t="s">
        <v>2779</v>
      </c>
      <c r="D458" s="29" t="s">
        <v>1877</v>
      </c>
      <c r="E458" s="8" t="s">
        <v>195</v>
      </c>
      <c r="F458" s="8" t="s">
        <v>24</v>
      </c>
      <c r="G458" s="25"/>
      <c r="H458" s="27"/>
      <c r="I458" s="8"/>
      <c r="J458" s="8"/>
      <c r="K458" s="8"/>
      <c r="L458" s="8"/>
      <c r="M458" s="8"/>
      <c r="N458" s="8"/>
      <c r="O458" s="8"/>
      <c r="P458" s="8"/>
    </row>
    <row r="459" spans="1:16" x14ac:dyDescent="0.25">
      <c r="A459" s="8" t="s">
        <v>1874</v>
      </c>
      <c r="B459" s="8" t="s">
        <v>2780</v>
      </c>
      <c r="C459" s="8" t="s">
        <v>2781</v>
      </c>
      <c r="D459" s="29" t="s">
        <v>1877</v>
      </c>
      <c r="E459" s="8" t="s">
        <v>195</v>
      </c>
      <c r="F459" s="8" t="s">
        <v>24</v>
      </c>
      <c r="G459" s="25"/>
      <c r="H459" s="27"/>
      <c r="I459" s="8"/>
      <c r="J459" s="8"/>
      <c r="K459" s="8"/>
      <c r="L459" s="8"/>
      <c r="M459" s="8"/>
      <c r="N459" s="8"/>
      <c r="O459" s="8"/>
      <c r="P459" s="8"/>
    </row>
    <row r="460" spans="1:16" ht="14.45" customHeight="1" x14ac:dyDescent="0.25">
      <c r="A460" s="8" t="s">
        <v>1874</v>
      </c>
      <c r="B460" s="8" t="s">
        <v>2782</v>
      </c>
      <c r="C460" s="8" t="s">
        <v>2783</v>
      </c>
      <c r="D460" s="29" t="s">
        <v>1877</v>
      </c>
      <c r="E460" s="8" t="s">
        <v>195</v>
      </c>
      <c r="F460" s="8" t="s">
        <v>24</v>
      </c>
      <c r="G460" s="25"/>
      <c r="H460" s="27"/>
      <c r="I460" s="8"/>
      <c r="J460" s="8"/>
      <c r="K460" s="8"/>
      <c r="L460" s="8"/>
      <c r="M460" s="8"/>
      <c r="N460" s="8"/>
      <c r="O460" s="8"/>
      <c r="P460" s="8"/>
    </row>
    <row r="461" spans="1:16" x14ac:dyDescent="0.25">
      <c r="A461" s="8" t="s">
        <v>1874</v>
      </c>
      <c r="B461" s="8" t="s">
        <v>2784</v>
      </c>
      <c r="C461" s="8" t="s">
        <v>2785</v>
      </c>
      <c r="D461" s="29" t="s">
        <v>1877</v>
      </c>
      <c r="E461" s="8" t="s">
        <v>195</v>
      </c>
      <c r="F461" s="8" t="s">
        <v>24</v>
      </c>
      <c r="G461" s="25"/>
      <c r="H461" s="27"/>
      <c r="I461" s="8"/>
      <c r="J461" s="8"/>
      <c r="K461" s="8"/>
      <c r="L461" s="8"/>
      <c r="M461" s="8"/>
      <c r="N461" s="8"/>
      <c r="O461" s="8"/>
      <c r="P461" s="8"/>
    </row>
    <row r="462" spans="1:16" x14ac:dyDescent="0.25">
      <c r="A462" s="8" t="s">
        <v>1874</v>
      </c>
      <c r="B462" s="8" t="s">
        <v>2786</v>
      </c>
      <c r="C462" s="8" t="s">
        <v>2787</v>
      </c>
      <c r="D462" s="29" t="s">
        <v>1877</v>
      </c>
      <c r="E462" s="8" t="s">
        <v>195</v>
      </c>
      <c r="F462" s="8" t="s">
        <v>24</v>
      </c>
      <c r="G462" s="25"/>
      <c r="H462" s="27"/>
      <c r="I462" s="8"/>
      <c r="J462" s="8"/>
      <c r="K462" s="8"/>
      <c r="L462" s="8"/>
      <c r="M462" s="8"/>
      <c r="N462" s="8"/>
      <c r="O462" s="8"/>
      <c r="P462" s="8"/>
    </row>
    <row r="463" spans="1:16" x14ac:dyDescent="0.25">
      <c r="A463" s="8" t="s">
        <v>1874</v>
      </c>
      <c r="B463" s="8" t="s">
        <v>2788</v>
      </c>
      <c r="C463" s="8" t="s">
        <v>2789</v>
      </c>
      <c r="D463" s="29" t="s">
        <v>1877</v>
      </c>
      <c r="E463" s="8" t="s">
        <v>195</v>
      </c>
      <c r="F463" s="8" t="s">
        <v>24</v>
      </c>
      <c r="G463" s="25"/>
      <c r="H463" s="27"/>
      <c r="I463" s="8"/>
      <c r="J463" s="8"/>
      <c r="K463" s="8"/>
      <c r="L463" s="8"/>
      <c r="M463" s="8"/>
      <c r="N463" s="8"/>
      <c r="O463" s="8"/>
      <c r="P463" s="8"/>
    </row>
    <row r="464" spans="1:16" x14ac:dyDescent="0.25">
      <c r="A464" s="8" t="s">
        <v>1874</v>
      </c>
      <c r="B464" s="8" t="s">
        <v>2790</v>
      </c>
      <c r="C464" s="8" t="s">
        <v>2791</v>
      </c>
      <c r="D464" s="29" t="s">
        <v>1877</v>
      </c>
      <c r="E464" s="8" t="s">
        <v>195</v>
      </c>
      <c r="F464" s="8" t="s">
        <v>24</v>
      </c>
      <c r="G464" s="25"/>
      <c r="H464" s="27"/>
      <c r="I464" s="8"/>
      <c r="J464" s="8"/>
      <c r="K464" s="8"/>
      <c r="L464" s="8"/>
      <c r="M464" s="8"/>
      <c r="N464" s="8"/>
      <c r="O464" s="8"/>
      <c r="P464" s="8"/>
    </row>
    <row r="465" spans="1:16" x14ac:dyDescent="0.25">
      <c r="A465" s="8" t="s">
        <v>1874</v>
      </c>
      <c r="B465" s="8" t="s">
        <v>2792</v>
      </c>
      <c r="C465" s="8" t="s">
        <v>2793</v>
      </c>
      <c r="D465" s="29" t="s">
        <v>1877</v>
      </c>
      <c r="E465" s="8" t="s">
        <v>195</v>
      </c>
      <c r="F465" s="8" t="s">
        <v>24</v>
      </c>
      <c r="G465" s="25"/>
      <c r="H465" s="27"/>
      <c r="I465" s="8"/>
      <c r="J465" s="8"/>
      <c r="K465" s="8"/>
      <c r="L465" s="8"/>
      <c r="M465" s="8"/>
      <c r="N465" s="8"/>
      <c r="O465" s="8"/>
      <c r="P465" s="8"/>
    </row>
    <row r="466" spans="1:16" x14ac:dyDescent="0.25">
      <c r="A466" s="8" t="s">
        <v>1874</v>
      </c>
      <c r="B466" s="8" t="s">
        <v>2794</v>
      </c>
      <c r="C466" s="8" t="s">
        <v>2795</v>
      </c>
      <c r="D466" s="29" t="s">
        <v>1877</v>
      </c>
      <c r="E466" s="8" t="s">
        <v>24</v>
      </c>
      <c r="F466" s="8" t="s">
        <v>24</v>
      </c>
      <c r="G466" s="25"/>
      <c r="H466" s="27"/>
      <c r="I466" s="8"/>
      <c r="J466" s="8"/>
      <c r="K466" s="8"/>
      <c r="L466" s="8"/>
      <c r="M466" s="8"/>
      <c r="N466" s="8"/>
      <c r="O466" s="8"/>
      <c r="P466" s="8"/>
    </row>
    <row r="467" spans="1:16" x14ac:dyDescent="0.25">
      <c r="A467" s="8" t="s">
        <v>1914</v>
      </c>
      <c r="B467" s="8" t="s">
        <v>2796</v>
      </c>
      <c r="C467" s="8" t="s">
        <v>2797</v>
      </c>
      <c r="D467" s="29" t="s">
        <v>1917</v>
      </c>
      <c r="E467" s="8" t="s">
        <v>24</v>
      </c>
      <c r="F467" s="8" t="s">
        <v>24</v>
      </c>
      <c r="G467" s="25">
        <v>100</v>
      </c>
      <c r="H467" s="27" t="str">
        <f>HYPERLINK("https://doc.morningstar.com/Document/06fb090bfb8da026263e2c16b7583e23.msdoc?clientid=fnz&amp;key=9c0e4d166b60ffd3","TMD")</f>
        <v>TMD</v>
      </c>
      <c r="I467" s="8" t="s">
        <v>25</v>
      </c>
      <c r="J467" s="8" t="s">
        <v>25</v>
      </c>
      <c r="K467" s="8" t="s">
        <v>25</v>
      </c>
      <c r="L467" s="8" t="s">
        <v>25</v>
      </c>
      <c r="M467" s="8" t="s">
        <v>26</v>
      </c>
      <c r="N467" s="8" t="s">
        <v>26</v>
      </c>
      <c r="O467" s="8" t="s">
        <v>27</v>
      </c>
      <c r="P467" s="8" t="s">
        <v>27</v>
      </c>
    </row>
    <row r="468" spans="1:16" x14ac:dyDescent="0.25">
      <c r="A468" s="8" t="s">
        <v>1914</v>
      </c>
      <c r="B468" s="8" t="s">
        <v>2798</v>
      </c>
      <c r="C468" s="8" t="s">
        <v>2799</v>
      </c>
      <c r="D468" s="29" t="s">
        <v>1917</v>
      </c>
      <c r="E468" s="8" t="s">
        <v>24</v>
      </c>
      <c r="F468" s="8" t="s">
        <v>24</v>
      </c>
      <c r="G468" s="25">
        <v>30</v>
      </c>
      <c r="H468" s="27" t="str">
        <f>HYPERLINK("https://doc.morningstar.com/Document/b587396d2c7dd4bc299ed62a1cee7a26.msdoc?clientid=fnz&amp;key=9c0e4d166b60ffd3","TMD")</f>
        <v>TMD</v>
      </c>
      <c r="I468" s="8" t="s">
        <v>25</v>
      </c>
      <c r="J468" s="8" t="s">
        <v>25</v>
      </c>
      <c r="K468" s="8" t="s">
        <v>25</v>
      </c>
      <c r="L468" s="8" t="s">
        <v>25</v>
      </c>
      <c r="M468" s="8" t="s">
        <v>26</v>
      </c>
      <c r="N468" s="8" t="s">
        <v>26</v>
      </c>
      <c r="O468" s="8" t="s">
        <v>27</v>
      </c>
      <c r="P468" s="8" t="s">
        <v>26</v>
      </c>
    </row>
    <row r="469" spans="1:16" x14ac:dyDescent="0.25">
      <c r="A469" s="8" t="s">
        <v>1914</v>
      </c>
      <c r="B469" s="8" t="s">
        <v>2800</v>
      </c>
      <c r="C469" s="8" t="s">
        <v>2801</v>
      </c>
      <c r="D469" s="29" t="s">
        <v>1917</v>
      </c>
      <c r="E469" s="8" t="s">
        <v>195</v>
      </c>
      <c r="F469" s="8" t="s">
        <v>24</v>
      </c>
      <c r="G469" s="25"/>
      <c r="H469" s="27" t="str">
        <f>HYPERLINK("https://doc.morningstar.com/Document/6d62a05a9da9d5e16d3acf967f29c64e.msdoc?clientid=fnz&amp;key=9c0e4d166b60ffd3","TMD")</f>
        <v>TMD</v>
      </c>
      <c r="I469" s="8" t="s">
        <v>25</v>
      </c>
      <c r="J469" s="8" t="s">
        <v>26</v>
      </c>
      <c r="K469" s="8" t="s">
        <v>26</v>
      </c>
      <c r="L469" s="8" t="s">
        <v>26</v>
      </c>
      <c r="M469" s="8" t="s">
        <v>26</v>
      </c>
      <c r="N469" s="8" t="s">
        <v>26</v>
      </c>
      <c r="O469" s="8" t="s">
        <v>26</v>
      </c>
      <c r="P469" s="8" t="s">
        <v>27</v>
      </c>
    </row>
    <row r="470" spans="1:16" x14ac:dyDescent="0.25">
      <c r="A470" s="8" t="s">
        <v>1914</v>
      </c>
      <c r="B470" s="8" t="s">
        <v>2802</v>
      </c>
      <c r="C470" s="8" t="s">
        <v>2803</v>
      </c>
      <c r="D470" s="29" t="s">
        <v>1917</v>
      </c>
      <c r="E470" s="8" t="s">
        <v>195</v>
      </c>
      <c r="F470" s="8" t="s">
        <v>24</v>
      </c>
      <c r="G470" s="25"/>
      <c r="H470" s="27" t="s">
        <v>1495</v>
      </c>
      <c r="I470" s="8" t="s">
        <v>25</v>
      </c>
      <c r="J470" s="8"/>
      <c r="K470" s="8"/>
      <c r="L470" s="8"/>
      <c r="M470" s="8"/>
      <c r="N470" s="8"/>
      <c r="O470" s="8"/>
      <c r="P470" s="8"/>
    </row>
    <row r="471" spans="1:16" x14ac:dyDescent="0.25">
      <c r="A471" s="8" t="s">
        <v>1874</v>
      </c>
      <c r="B471" s="8" t="s">
        <v>2804</v>
      </c>
      <c r="C471" s="8" t="s">
        <v>2805</v>
      </c>
      <c r="D471" s="29" t="s">
        <v>1877</v>
      </c>
      <c r="E471" s="8" t="s">
        <v>195</v>
      </c>
      <c r="F471" s="8" t="s">
        <v>24</v>
      </c>
      <c r="G471" s="25"/>
      <c r="H471" s="27"/>
      <c r="I471" s="8"/>
      <c r="J471" s="8"/>
      <c r="K471" s="8"/>
      <c r="L471" s="8"/>
      <c r="M471" s="8"/>
      <c r="N471" s="8"/>
      <c r="O471" s="8"/>
      <c r="P471" s="8"/>
    </row>
    <row r="472" spans="1:16" x14ac:dyDescent="0.25">
      <c r="A472" s="8" t="s">
        <v>1874</v>
      </c>
      <c r="B472" s="8" t="s">
        <v>2806</v>
      </c>
      <c r="C472" s="8" t="s">
        <v>2807</v>
      </c>
      <c r="D472" s="29" t="s">
        <v>1894</v>
      </c>
      <c r="E472" s="8" t="s">
        <v>195</v>
      </c>
      <c r="F472" s="8" t="s">
        <v>24</v>
      </c>
      <c r="G472" s="25"/>
      <c r="H472" s="27"/>
      <c r="I472" s="8"/>
      <c r="J472" s="8"/>
      <c r="K472" s="8"/>
      <c r="L472" s="8"/>
      <c r="M472" s="8"/>
      <c r="N472" s="8"/>
      <c r="O472" s="8"/>
      <c r="P472" s="8"/>
    </row>
    <row r="473" spans="1:16" x14ac:dyDescent="0.25">
      <c r="A473" s="8" t="s">
        <v>1874</v>
      </c>
      <c r="B473" s="8" t="s">
        <v>2808</v>
      </c>
      <c r="C473" s="8" t="s">
        <v>2809</v>
      </c>
      <c r="D473" s="29" t="s">
        <v>1877</v>
      </c>
      <c r="E473" s="8" t="s">
        <v>195</v>
      </c>
      <c r="F473" s="8" t="s">
        <v>24</v>
      </c>
      <c r="G473" s="25"/>
      <c r="H473" s="27"/>
      <c r="I473" s="8"/>
      <c r="J473" s="8"/>
      <c r="K473" s="8"/>
      <c r="L473" s="8"/>
      <c r="M473" s="8"/>
      <c r="N473" s="8"/>
      <c r="O473" s="8"/>
      <c r="P473" s="8"/>
    </row>
    <row r="474" spans="1:16" x14ac:dyDescent="0.25">
      <c r="A474" s="8" t="s">
        <v>1874</v>
      </c>
      <c r="B474" s="8" t="s">
        <v>2810</v>
      </c>
      <c r="C474" s="8" t="s">
        <v>2811</v>
      </c>
      <c r="D474" s="29" t="s">
        <v>1877</v>
      </c>
      <c r="E474" s="8" t="s">
        <v>24</v>
      </c>
      <c r="F474" s="8" t="s">
        <v>24</v>
      </c>
      <c r="G474" s="25"/>
      <c r="H474" s="27"/>
      <c r="I474" s="8"/>
      <c r="J474" s="8"/>
      <c r="K474" s="8"/>
      <c r="L474" s="8"/>
      <c r="M474" s="8"/>
      <c r="N474" s="8"/>
      <c r="O474" s="8"/>
      <c r="P474" s="8"/>
    </row>
    <row r="475" spans="1:16" x14ac:dyDescent="0.25">
      <c r="A475" s="8" t="s">
        <v>1874</v>
      </c>
      <c r="B475" s="8" t="s">
        <v>2812</v>
      </c>
      <c r="C475" s="8" t="s">
        <v>2813</v>
      </c>
      <c r="D475" s="29" t="s">
        <v>1877</v>
      </c>
      <c r="E475" s="8" t="s">
        <v>24</v>
      </c>
      <c r="F475" s="8" t="s">
        <v>24</v>
      </c>
      <c r="G475" s="25"/>
      <c r="H475" s="27"/>
      <c r="I475" s="8"/>
      <c r="J475" s="8"/>
      <c r="K475" s="8"/>
      <c r="L475" s="8"/>
      <c r="M475" s="8"/>
      <c r="N475" s="8"/>
      <c r="O475" s="8"/>
      <c r="P475" s="8"/>
    </row>
    <row r="476" spans="1:16" x14ac:dyDescent="0.25">
      <c r="A476" s="8" t="s">
        <v>1874</v>
      </c>
      <c r="B476" s="8" t="s">
        <v>2814</v>
      </c>
      <c r="C476" s="8" t="s">
        <v>2815</v>
      </c>
      <c r="D476" s="29" t="s">
        <v>1877</v>
      </c>
      <c r="E476" s="8" t="s">
        <v>195</v>
      </c>
      <c r="F476" s="8" t="s">
        <v>24</v>
      </c>
      <c r="G476" s="25"/>
      <c r="H476" s="27"/>
      <c r="I476" s="8"/>
      <c r="J476" s="8"/>
      <c r="K476" s="8"/>
      <c r="L476" s="8"/>
      <c r="M476" s="8"/>
      <c r="N476" s="8"/>
      <c r="O476" s="8"/>
      <c r="P476" s="8"/>
    </row>
    <row r="477" spans="1:16" x14ac:dyDescent="0.25">
      <c r="A477" s="8" t="s">
        <v>1874</v>
      </c>
      <c r="B477" s="8" t="s">
        <v>2816</v>
      </c>
      <c r="C477" s="8" t="s">
        <v>2817</v>
      </c>
      <c r="D477" s="29" t="s">
        <v>1877</v>
      </c>
      <c r="E477" s="8" t="s">
        <v>195</v>
      </c>
      <c r="F477" s="8" t="s">
        <v>24</v>
      </c>
      <c r="G477" s="25"/>
      <c r="H477" s="27"/>
      <c r="I477" s="8"/>
      <c r="J477" s="8"/>
      <c r="K477" s="8"/>
      <c r="L477" s="8"/>
      <c r="M477" s="8"/>
      <c r="N477" s="8"/>
      <c r="O477" s="8"/>
      <c r="P477" s="8"/>
    </row>
    <row r="478" spans="1:16" x14ac:dyDescent="0.25">
      <c r="A478" s="8" t="s">
        <v>1874</v>
      </c>
      <c r="B478" s="8" t="s">
        <v>2818</v>
      </c>
      <c r="C478" s="8" t="s">
        <v>2819</v>
      </c>
      <c r="D478" s="29" t="s">
        <v>1877</v>
      </c>
      <c r="E478" s="8" t="s">
        <v>195</v>
      </c>
      <c r="F478" s="8" t="s">
        <v>24</v>
      </c>
      <c r="G478" s="25"/>
      <c r="H478" s="27"/>
      <c r="I478" s="8"/>
      <c r="J478" s="8"/>
      <c r="K478" s="8"/>
      <c r="L478" s="8"/>
      <c r="M478" s="8"/>
      <c r="N478" s="8"/>
      <c r="O478" s="8"/>
      <c r="P478" s="8"/>
    </row>
    <row r="479" spans="1:16" x14ac:dyDescent="0.25">
      <c r="A479" s="8" t="s">
        <v>1874</v>
      </c>
      <c r="B479" s="8" t="s">
        <v>2820</v>
      </c>
      <c r="C479" s="8" t="s">
        <v>2821</v>
      </c>
      <c r="D479" s="29" t="s">
        <v>1877</v>
      </c>
      <c r="E479" s="8" t="s">
        <v>195</v>
      </c>
      <c r="F479" s="8" t="s">
        <v>24</v>
      </c>
      <c r="G479" s="25"/>
      <c r="H479" s="27"/>
      <c r="I479" s="8"/>
      <c r="J479" s="8"/>
      <c r="K479" s="8"/>
      <c r="L479" s="8"/>
      <c r="M479" s="8"/>
      <c r="N479" s="8"/>
      <c r="O479" s="8"/>
      <c r="P479" s="8"/>
    </row>
    <row r="480" spans="1:16" x14ac:dyDescent="0.25">
      <c r="A480" s="8" t="s">
        <v>1874</v>
      </c>
      <c r="B480" s="8" t="s">
        <v>2822</v>
      </c>
      <c r="C480" s="8" t="s">
        <v>2823</v>
      </c>
      <c r="D480" s="29" t="s">
        <v>1877</v>
      </c>
      <c r="E480" s="8" t="s">
        <v>195</v>
      </c>
      <c r="F480" s="8" t="s">
        <v>24</v>
      </c>
      <c r="G480" s="25"/>
      <c r="H480" s="27"/>
      <c r="I480" s="8"/>
      <c r="J480" s="8"/>
      <c r="K480" s="8"/>
      <c r="L480" s="8"/>
      <c r="M480" s="8"/>
      <c r="N480" s="8"/>
      <c r="O480" s="8"/>
      <c r="P480" s="8"/>
    </row>
    <row r="481" spans="1:16" x14ac:dyDescent="0.25">
      <c r="A481" s="8" t="s">
        <v>1914</v>
      </c>
      <c r="B481" s="8" t="s">
        <v>2824</v>
      </c>
      <c r="C481" s="8" t="s">
        <v>2825</v>
      </c>
      <c r="D481" s="29" t="s">
        <v>1917</v>
      </c>
      <c r="E481" s="8" t="s">
        <v>24</v>
      </c>
      <c r="F481" s="8" t="s">
        <v>24</v>
      </c>
      <c r="G481" s="25">
        <v>30</v>
      </c>
      <c r="H481" s="27" t="str">
        <f>HYPERLINK("https://doc.morningstar.com/Document/bceb1eec3a62f6ee3a68e6dd523ac729.msdoc?clientid=fnz&amp;key=9c0e4d166b60ffd3","TMD")</f>
        <v>TMD</v>
      </c>
      <c r="I481" s="8" t="s">
        <v>25</v>
      </c>
      <c r="J481" s="8" t="s">
        <v>25</v>
      </c>
      <c r="K481" s="8" t="s">
        <v>25</v>
      </c>
      <c r="L481" s="8" t="s">
        <v>25</v>
      </c>
      <c r="M481" s="8" t="s">
        <v>26</v>
      </c>
      <c r="N481" s="8" t="s">
        <v>26</v>
      </c>
      <c r="O481" s="8" t="s">
        <v>27</v>
      </c>
      <c r="P481" s="8" t="s">
        <v>27</v>
      </c>
    </row>
    <row r="482" spans="1:16" x14ac:dyDescent="0.25">
      <c r="A482" s="8" t="s">
        <v>1874</v>
      </c>
      <c r="B482" s="8" t="s">
        <v>2826</v>
      </c>
      <c r="C482" s="8" t="s">
        <v>2827</v>
      </c>
      <c r="D482" s="29" t="s">
        <v>1877</v>
      </c>
      <c r="E482" s="8" t="s">
        <v>195</v>
      </c>
      <c r="F482" s="8" t="s">
        <v>24</v>
      </c>
      <c r="G482" s="25"/>
      <c r="H482" s="27"/>
      <c r="I482" s="8"/>
      <c r="J482" s="8"/>
      <c r="K482" s="8"/>
      <c r="L482" s="8"/>
      <c r="M482" s="8"/>
      <c r="N482" s="8"/>
      <c r="O482" s="8"/>
      <c r="P482" s="8"/>
    </row>
    <row r="483" spans="1:16" x14ac:dyDescent="0.25">
      <c r="A483" s="8" t="s">
        <v>1914</v>
      </c>
      <c r="B483" s="8" t="s">
        <v>2828</v>
      </c>
      <c r="C483" s="8" t="s">
        <v>2829</v>
      </c>
      <c r="D483" s="29" t="s">
        <v>1917</v>
      </c>
      <c r="E483" s="8" t="s">
        <v>195</v>
      </c>
      <c r="F483" s="8" t="s">
        <v>24</v>
      </c>
      <c r="G483" s="25"/>
      <c r="H483" s="27" t="str">
        <f>HYPERLINK("https://doc.morningstar.com/Document/e684792d8fcecc6495e7e836ea0cdee1.msdoc?clientid=fnz&amp;key=9c0e4d166b60ffd3","TMD")</f>
        <v>TMD</v>
      </c>
      <c r="I483" s="8" t="s">
        <v>25</v>
      </c>
      <c r="J483" s="8" t="s">
        <v>25</v>
      </c>
      <c r="K483" s="8" t="s">
        <v>25</v>
      </c>
      <c r="L483" s="8" t="s">
        <v>25</v>
      </c>
      <c r="M483" s="8" t="s">
        <v>26</v>
      </c>
      <c r="N483" s="8" t="s">
        <v>26</v>
      </c>
      <c r="O483" s="8" t="s">
        <v>27</v>
      </c>
      <c r="P483" s="8" t="s">
        <v>27</v>
      </c>
    </row>
    <row r="484" spans="1:16" x14ac:dyDescent="0.25">
      <c r="A484" s="8" t="s">
        <v>1874</v>
      </c>
      <c r="B484" s="8" t="s">
        <v>2830</v>
      </c>
      <c r="C484" s="8" t="s">
        <v>2831</v>
      </c>
      <c r="D484" s="29" t="s">
        <v>1877</v>
      </c>
      <c r="E484" s="8" t="s">
        <v>195</v>
      </c>
      <c r="F484" s="8" t="s">
        <v>24</v>
      </c>
      <c r="G484" s="25"/>
      <c r="H484" s="27"/>
      <c r="I484" s="8"/>
      <c r="J484" s="8"/>
      <c r="K484" s="8"/>
      <c r="L484" s="8"/>
      <c r="M484" s="8"/>
      <c r="N484" s="8"/>
      <c r="O484" s="8"/>
      <c r="P484" s="8"/>
    </row>
    <row r="485" spans="1:16" x14ac:dyDescent="0.25">
      <c r="A485" s="8" t="s">
        <v>1874</v>
      </c>
      <c r="B485" s="8" t="s">
        <v>2832</v>
      </c>
      <c r="C485" s="8" t="s">
        <v>2833</v>
      </c>
      <c r="D485" s="29" t="s">
        <v>1877</v>
      </c>
      <c r="E485" s="8" t="s">
        <v>24</v>
      </c>
      <c r="F485" s="8" t="s">
        <v>24</v>
      </c>
      <c r="G485" s="25">
        <v>20</v>
      </c>
      <c r="H485" s="27"/>
      <c r="I485" s="8"/>
      <c r="J485" s="8"/>
      <c r="K485" s="8"/>
      <c r="L485" s="8"/>
      <c r="M485" s="8"/>
      <c r="N485" s="8"/>
      <c r="O485" s="8"/>
      <c r="P485" s="8"/>
    </row>
    <row r="486" spans="1:16" x14ac:dyDescent="0.25">
      <c r="A486" s="8" t="s">
        <v>1874</v>
      </c>
      <c r="B486" s="8" t="s">
        <v>2834</v>
      </c>
      <c r="C486" s="8" t="s">
        <v>2835</v>
      </c>
      <c r="D486" s="29" t="s">
        <v>1894</v>
      </c>
      <c r="E486" s="8" t="s">
        <v>195</v>
      </c>
      <c r="F486" s="8" t="s">
        <v>24</v>
      </c>
      <c r="G486" s="25"/>
      <c r="H486" s="27"/>
      <c r="I486" s="8"/>
      <c r="J486" s="8"/>
      <c r="K486" s="8"/>
      <c r="L486" s="8"/>
      <c r="M486" s="8"/>
      <c r="N486" s="8"/>
      <c r="O486" s="8"/>
      <c r="P486" s="8"/>
    </row>
    <row r="487" spans="1:16" x14ac:dyDescent="0.25">
      <c r="A487" s="8" t="s">
        <v>1874</v>
      </c>
      <c r="B487" s="8" t="s">
        <v>2836</v>
      </c>
      <c r="C487" s="8" t="s">
        <v>2837</v>
      </c>
      <c r="D487" s="29" t="s">
        <v>1877</v>
      </c>
      <c r="E487" s="8" t="s">
        <v>195</v>
      </c>
      <c r="F487" s="8" t="s">
        <v>24</v>
      </c>
      <c r="G487" s="25"/>
      <c r="H487" s="27"/>
      <c r="I487" s="8"/>
      <c r="J487" s="8"/>
      <c r="K487" s="8"/>
      <c r="L487" s="8"/>
      <c r="M487" s="8"/>
      <c r="N487" s="8"/>
      <c r="O487" s="8"/>
      <c r="P487" s="8"/>
    </row>
    <row r="488" spans="1:16" x14ac:dyDescent="0.25">
      <c r="A488" s="8" t="s">
        <v>1874</v>
      </c>
      <c r="B488" s="8" t="s">
        <v>2838</v>
      </c>
      <c r="C488" s="8" t="s">
        <v>2839</v>
      </c>
      <c r="D488" s="29" t="s">
        <v>1877</v>
      </c>
      <c r="E488" s="8" t="s">
        <v>195</v>
      </c>
      <c r="F488" s="8" t="s">
        <v>24</v>
      </c>
      <c r="G488" s="25"/>
      <c r="H488" s="27"/>
      <c r="I488" s="8"/>
      <c r="J488" s="8"/>
      <c r="K488" s="8"/>
      <c r="L488" s="8"/>
      <c r="M488" s="8"/>
      <c r="N488" s="8"/>
      <c r="O488" s="8"/>
      <c r="P488" s="8"/>
    </row>
    <row r="489" spans="1:16" x14ac:dyDescent="0.25">
      <c r="A489" s="8" t="s">
        <v>1874</v>
      </c>
      <c r="B489" s="8" t="s">
        <v>2840</v>
      </c>
      <c r="C489" s="8" t="s">
        <v>2841</v>
      </c>
      <c r="D489" s="29" t="s">
        <v>1877</v>
      </c>
      <c r="E489" s="8" t="s">
        <v>24</v>
      </c>
      <c r="F489" s="8" t="s">
        <v>24</v>
      </c>
      <c r="G489" s="25"/>
      <c r="H489" s="27"/>
      <c r="I489" s="8"/>
      <c r="J489" s="8"/>
      <c r="K489" s="8"/>
      <c r="L489" s="8"/>
      <c r="M489" s="8"/>
      <c r="N489" s="8"/>
      <c r="O489" s="8"/>
      <c r="P489" s="8"/>
    </row>
    <row r="490" spans="1:16" x14ac:dyDescent="0.25">
      <c r="A490" s="8" t="s">
        <v>1874</v>
      </c>
      <c r="B490" s="8" t="s">
        <v>2842</v>
      </c>
      <c r="C490" s="8" t="s">
        <v>2843</v>
      </c>
      <c r="D490" s="29" t="s">
        <v>1877</v>
      </c>
      <c r="E490" s="8" t="s">
        <v>24</v>
      </c>
      <c r="F490" s="8" t="s">
        <v>24</v>
      </c>
      <c r="G490" s="25"/>
      <c r="H490" s="27"/>
      <c r="I490" s="8"/>
      <c r="J490" s="8"/>
      <c r="K490" s="8"/>
      <c r="L490" s="8"/>
      <c r="M490" s="8"/>
      <c r="N490" s="8"/>
      <c r="O490" s="8"/>
      <c r="P490" s="8"/>
    </row>
    <row r="491" spans="1:16" x14ac:dyDescent="0.25">
      <c r="A491" s="8" t="s">
        <v>1874</v>
      </c>
      <c r="B491" s="8" t="s">
        <v>2844</v>
      </c>
      <c r="C491" s="8" t="s">
        <v>2845</v>
      </c>
      <c r="D491" s="29" t="s">
        <v>1877</v>
      </c>
      <c r="E491" s="8" t="s">
        <v>195</v>
      </c>
      <c r="F491" s="8" t="s">
        <v>24</v>
      </c>
      <c r="G491" s="25"/>
      <c r="H491" s="27"/>
      <c r="I491" s="8"/>
      <c r="J491" s="8"/>
      <c r="K491" s="8"/>
      <c r="L491" s="8"/>
      <c r="M491" s="8"/>
      <c r="N491" s="8"/>
      <c r="O491" s="8"/>
      <c r="P491" s="8"/>
    </row>
    <row r="492" spans="1:16" x14ac:dyDescent="0.25">
      <c r="A492" s="8" t="s">
        <v>1874</v>
      </c>
      <c r="B492" s="8" t="s">
        <v>2846</v>
      </c>
      <c r="C492" s="8" t="s">
        <v>2847</v>
      </c>
      <c r="D492" s="29" t="s">
        <v>1877</v>
      </c>
      <c r="E492" s="8" t="s">
        <v>24</v>
      </c>
      <c r="F492" s="8" t="s">
        <v>24</v>
      </c>
      <c r="G492" s="25"/>
      <c r="H492" s="27"/>
      <c r="I492" s="8"/>
      <c r="J492" s="8"/>
      <c r="K492" s="8"/>
      <c r="L492" s="8"/>
      <c r="M492" s="8"/>
      <c r="N492" s="8"/>
      <c r="O492" s="8"/>
      <c r="P492" s="8"/>
    </row>
    <row r="493" spans="1:16" x14ac:dyDescent="0.25">
      <c r="A493" s="8" t="s">
        <v>1874</v>
      </c>
      <c r="B493" s="8" t="s">
        <v>2848</v>
      </c>
      <c r="C493" s="8" t="s">
        <v>2849</v>
      </c>
      <c r="D493" s="29" t="s">
        <v>1877</v>
      </c>
      <c r="E493" s="8" t="s">
        <v>24</v>
      </c>
      <c r="F493" s="8" t="s">
        <v>24</v>
      </c>
      <c r="G493" s="25"/>
      <c r="H493" s="27"/>
      <c r="I493" s="8"/>
      <c r="J493" s="8"/>
      <c r="K493" s="8"/>
      <c r="L493" s="8"/>
      <c r="M493" s="8"/>
      <c r="N493" s="8"/>
      <c r="O493" s="8"/>
      <c r="P493" s="8"/>
    </row>
    <row r="494" spans="1:16" x14ac:dyDescent="0.25">
      <c r="A494" s="8" t="s">
        <v>1874</v>
      </c>
      <c r="B494" s="8" t="s">
        <v>2850</v>
      </c>
      <c r="C494" s="8" t="s">
        <v>2851</v>
      </c>
      <c r="D494" s="29" t="s">
        <v>1877</v>
      </c>
      <c r="E494" s="8" t="s">
        <v>195</v>
      </c>
      <c r="F494" s="8" t="s">
        <v>24</v>
      </c>
      <c r="G494" s="25"/>
      <c r="H494" s="27"/>
      <c r="I494" s="8"/>
      <c r="J494" s="8"/>
      <c r="K494" s="8"/>
      <c r="L494" s="8"/>
      <c r="M494" s="8"/>
      <c r="N494" s="8"/>
      <c r="O494" s="8"/>
      <c r="P494" s="8"/>
    </row>
    <row r="495" spans="1:16" x14ac:dyDescent="0.25">
      <c r="A495" s="8" t="s">
        <v>1874</v>
      </c>
      <c r="B495" s="8" t="s">
        <v>2852</v>
      </c>
      <c r="C495" s="8" t="s">
        <v>2853</v>
      </c>
      <c r="D495" s="29" t="s">
        <v>1877</v>
      </c>
      <c r="E495" s="8" t="s">
        <v>24</v>
      </c>
      <c r="F495" s="8" t="s">
        <v>24</v>
      </c>
      <c r="G495" s="25"/>
      <c r="H495" s="27"/>
      <c r="I495" s="8"/>
      <c r="J495" s="8"/>
      <c r="K495" s="8"/>
      <c r="L495" s="8"/>
      <c r="M495" s="8"/>
      <c r="N495" s="8"/>
      <c r="O495" s="8"/>
      <c r="P495" s="8"/>
    </row>
    <row r="496" spans="1:16" x14ac:dyDescent="0.25">
      <c r="A496" s="8" t="s">
        <v>1914</v>
      </c>
      <c r="B496" s="8" t="s">
        <v>2854</v>
      </c>
      <c r="C496" s="8" t="s">
        <v>2855</v>
      </c>
      <c r="D496" s="29" t="s">
        <v>1917</v>
      </c>
      <c r="E496" s="8" t="s">
        <v>195</v>
      </c>
      <c r="F496" s="8" t="s">
        <v>24</v>
      </c>
      <c r="G496" s="25"/>
      <c r="H496" s="27" t="str">
        <f>HYPERLINK("https://doc.morningstar.com/Document/fce6ae47116774e2a3617d1f4e0b7b9b.msdoc?clientid=fnz&amp;key=9c0e4d166b60ffd3","TMD")</f>
        <v>TMD</v>
      </c>
      <c r="I496" s="8" t="s">
        <v>25</v>
      </c>
      <c r="J496" s="8" t="s">
        <v>25</v>
      </c>
      <c r="K496" s="8" t="s">
        <v>25</v>
      </c>
      <c r="L496" s="8" t="s">
        <v>25</v>
      </c>
      <c r="M496" s="8" t="s">
        <v>26</v>
      </c>
      <c r="N496" s="8" t="s">
        <v>27</v>
      </c>
      <c r="O496" s="8" t="s">
        <v>26</v>
      </c>
      <c r="P496" s="8" t="s">
        <v>26</v>
      </c>
    </row>
    <row r="497" spans="1:16" x14ac:dyDescent="0.25">
      <c r="A497" s="8" t="s">
        <v>1914</v>
      </c>
      <c r="B497" s="8" t="s">
        <v>2856</v>
      </c>
      <c r="C497" s="8" t="s">
        <v>2857</v>
      </c>
      <c r="D497" s="29" t="s">
        <v>1917</v>
      </c>
      <c r="E497" s="8" t="s">
        <v>195</v>
      </c>
      <c r="F497" s="8" t="s">
        <v>24</v>
      </c>
      <c r="G497" s="25"/>
      <c r="H497" s="27" t="str">
        <f>HYPERLINK("https://doc.morningstar.com/Document/219ebaf592d9d0881f5f419aa16c1929.msdoc?clientid=fnz&amp;key=9c0e4d166b60ffd3","TMD")</f>
        <v>TMD</v>
      </c>
      <c r="I497" s="8" t="s">
        <v>25</v>
      </c>
      <c r="J497" s="8" t="s">
        <v>25</v>
      </c>
      <c r="K497" s="8" t="s">
        <v>25</v>
      </c>
      <c r="L497" s="8" t="s">
        <v>25</v>
      </c>
      <c r="M497" s="8" t="s">
        <v>25</v>
      </c>
      <c r="N497" s="8" t="s">
        <v>25</v>
      </c>
      <c r="O497" s="8" t="s">
        <v>25</v>
      </c>
      <c r="P497" s="8" t="s">
        <v>25</v>
      </c>
    </row>
    <row r="498" spans="1:16" x14ac:dyDescent="0.25">
      <c r="A498" s="8" t="s">
        <v>1914</v>
      </c>
      <c r="B498" s="8" t="s">
        <v>2858</v>
      </c>
      <c r="C498" s="8" t="s">
        <v>2859</v>
      </c>
      <c r="D498" s="29" t="s">
        <v>1917</v>
      </c>
      <c r="E498" s="8" t="s">
        <v>195</v>
      </c>
      <c r="F498" s="8" t="s">
        <v>24</v>
      </c>
      <c r="G498" s="25"/>
      <c r="H498" s="27" t="s">
        <v>1495</v>
      </c>
      <c r="I498" s="8" t="s">
        <v>25</v>
      </c>
      <c r="J498" s="8"/>
      <c r="K498" s="8"/>
      <c r="L498" s="8"/>
      <c r="M498" s="8"/>
      <c r="N498" s="8"/>
      <c r="O498" s="8"/>
      <c r="P498" s="8"/>
    </row>
    <row r="499" spans="1:16" x14ac:dyDescent="0.25">
      <c r="A499" s="8" t="s">
        <v>1874</v>
      </c>
      <c r="B499" s="8" t="s">
        <v>2860</v>
      </c>
      <c r="C499" s="8" t="s">
        <v>2861</v>
      </c>
      <c r="D499" s="29" t="s">
        <v>1877</v>
      </c>
      <c r="E499" s="8" t="s">
        <v>195</v>
      </c>
      <c r="F499" s="8" t="s">
        <v>24</v>
      </c>
      <c r="G499" s="25"/>
      <c r="H499" s="27"/>
      <c r="I499" s="8"/>
      <c r="J499" s="8"/>
      <c r="K499" s="8"/>
      <c r="L499" s="8"/>
      <c r="M499" s="8"/>
      <c r="N499" s="8"/>
      <c r="O499" s="8"/>
      <c r="P499" s="8"/>
    </row>
    <row r="500" spans="1:16" x14ac:dyDescent="0.25">
      <c r="A500" s="8" t="s">
        <v>1874</v>
      </c>
      <c r="B500" s="8" t="s">
        <v>2862</v>
      </c>
      <c r="C500" s="8" t="s">
        <v>2863</v>
      </c>
      <c r="D500" s="29" t="s">
        <v>1877</v>
      </c>
      <c r="E500" s="8" t="s">
        <v>195</v>
      </c>
      <c r="F500" s="8" t="s">
        <v>24</v>
      </c>
      <c r="G500" s="25"/>
      <c r="H500" s="27"/>
      <c r="I500" s="8"/>
      <c r="J500" s="8"/>
      <c r="K500" s="8"/>
      <c r="L500" s="8"/>
      <c r="M500" s="8"/>
      <c r="N500" s="8"/>
      <c r="O500" s="8"/>
      <c r="P500" s="8"/>
    </row>
    <row r="501" spans="1:16" x14ac:dyDescent="0.25">
      <c r="A501" s="8" t="s">
        <v>1874</v>
      </c>
      <c r="B501" s="8" t="s">
        <v>2864</v>
      </c>
      <c r="C501" s="8" t="s">
        <v>2865</v>
      </c>
      <c r="D501" s="29" t="s">
        <v>2866</v>
      </c>
      <c r="E501" s="8" t="s">
        <v>24</v>
      </c>
      <c r="F501" s="8" t="s">
        <v>24</v>
      </c>
      <c r="G501" s="25">
        <v>100</v>
      </c>
      <c r="H501" s="27"/>
      <c r="I501" s="8"/>
      <c r="J501" s="8"/>
      <c r="K501" s="8"/>
      <c r="L501" s="8"/>
      <c r="M501" s="8"/>
      <c r="N501" s="8"/>
      <c r="O501" s="8"/>
      <c r="P501" s="8"/>
    </row>
    <row r="502" spans="1:16" x14ac:dyDescent="0.25">
      <c r="A502" s="8" t="s">
        <v>1874</v>
      </c>
      <c r="B502" s="8" t="s">
        <v>2867</v>
      </c>
      <c r="C502" s="8" t="s">
        <v>2868</v>
      </c>
      <c r="D502" s="29" t="s">
        <v>1877</v>
      </c>
      <c r="E502" s="8" t="s">
        <v>24</v>
      </c>
      <c r="F502" s="8" t="s">
        <v>24</v>
      </c>
      <c r="G502" s="25">
        <v>100</v>
      </c>
      <c r="H502" s="27"/>
      <c r="I502" s="8"/>
      <c r="J502" s="8"/>
      <c r="K502" s="8"/>
      <c r="L502" s="8"/>
      <c r="M502" s="8"/>
      <c r="N502" s="8"/>
      <c r="O502" s="8"/>
      <c r="P502" s="8"/>
    </row>
    <row r="503" spans="1:16" x14ac:dyDescent="0.25">
      <c r="A503" s="8" t="s">
        <v>1874</v>
      </c>
      <c r="B503" s="8" t="s">
        <v>2869</v>
      </c>
      <c r="C503" s="8" t="s">
        <v>2870</v>
      </c>
      <c r="D503" s="29" t="s">
        <v>1877</v>
      </c>
      <c r="E503" s="8" t="s">
        <v>195</v>
      </c>
      <c r="F503" s="8" t="s">
        <v>24</v>
      </c>
      <c r="G503" s="25"/>
      <c r="H503" s="27"/>
      <c r="I503" s="8"/>
      <c r="J503" s="8"/>
      <c r="K503" s="8"/>
      <c r="L503" s="8"/>
      <c r="M503" s="8"/>
      <c r="N503" s="8"/>
      <c r="O503" s="8"/>
      <c r="P503" s="8"/>
    </row>
    <row r="504" spans="1:16" x14ac:dyDescent="0.25">
      <c r="A504" s="8" t="s">
        <v>1874</v>
      </c>
      <c r="B504" s="8" t="s">
        <v>2871</v>
      </c>
      <c r="C504" s="8" t="s">
        <v>2872</v>
      </c>
      <c r="D504" s="29" t="s">
        <v>1877</v>
      </c>
      <c r="E504" s="8" t="s">
        <v>24</v>
      </c>
      <c r="F504" s="8" t="s">
        <v>24</v>
      </c>
      <c r="G504" s="25"/>
      <c r="H504" s="27"/>
      <c r="I504" s="8"/>
      <c r="J504" s="8"/>
      <c r="K504" s="8"/>
      <c r="L504" s="8"/>
      <c r="M504" s="8"/>
      <c r="N504" s="8"/>
      <c r="O504" s="8"/>
      <c r="P504" s="8"/>
    </row>
    <row r="505" spans="1:16" ht="15" customHeight="1" x14ac:dyDescent="0.25">
      <c r="A505" s="8" t="s">
        <v>1874</v>
      </c>
      <c r="B505" s="8" t="s">
        <v>2873</v>
      </c>
      <c r="C505" s="8" t="s">
        <v>2874</v>
      </c>
      <c r="D505" s="29" t="s">
        <v>1877</v>
      </c>
      <c r="E505" s="8" t="s">
        <v>195</v>
      </c>
      <c r="F505" s="8" t="s">
        <v>24</v>
      </c>
      <c r="G505" s="25"/>
      <c r="H505" s="27"/>
      <c r="I505" s="8"/>
      <c r="J505" s="8"/>
      <c r="K505" s="8"/>
      <c r="L505" s="8"/>
      <c r="M505" s="8"/>
      <c r="N505" s="8"/>
      <c r="O505" s="8"/>
      <c r="P505" s="8"/>
    </row>
    <row r="506" spans="1:16" ht="15" customHeight="1" x14ac:dyDescent="0.25">
      <c r="A506" s="8" t="s">
        <v>1874</v>
      </c>
      <c r="B506" s="8" t="s">
        <v>2875</v>
      </c>
      <c r="C506" s="8" t="s">
        <v>2876</v>
      </c>
      <c r="D506" s="29" t="s">
        <v>1877</v>
      </c>
      <c r="E506" s="8" t="s">
        <v>195</v>
      </c>
      <c r="F506" s="8" t="s">
        <v>24</v>
      </c>
      <c r="G506" s="25"/>
      <c r="H506" s="27"/>
      <c r="I506" s="8"/>
      <c r="J506" s="8"/>
      <c r="K506" s="8"/>
      <c r="L506" s="8"/>
      <c r="M506" s="8"/>
      <c r="N506" s="8"/>
      <c r="O506" s="8"/>
      <c r="P506" s="8"/>
    </row>
    <row r="507" spans="1:16" x14ac:dyDescent="0.25">
      <c r="A507" s="8" t="s">
        <v>1874</v>
      </c>
      <c r="B507" s="8" t="s">
        <v>2877</v>
      </c>
      <c r="C507" s="8" t="s">
        <v>2878</v>
      </c>
      <c r="D507" s="29" t="s">
        <v>1877</v>
      </c>
      <c r="E507" s="8" t="s">
        <v>195</v>
      </c>
      <c r="F507" s="8" t="s">
        <v>24</v>
      </c>
      <c r="G507" s="25"/>
      <c r="H507" s="27"/>
      <c r="I507" s="8"/>
      <c r="J507" s="8"/>
      <c r="K507" s="8"/>
      <c r="L507" s="8"/>
      <c r="M507" s="8"/>
      <c r="N507" s="8"/>
      <c r="O507" s="8"/>
      <c r="P507" s="8"/>
    </row>
    <row r="508" spans="1:16" ht="30" x14ac:dyDescent="0.25">
      <c r="A508" s="8" t="s">
        <v>1878</v>
      </c>
      <c r="B508" s="8" t="s">
        <v>2879</v>
      </c>
      <c r="C508" s="8" t="s">
        <v>2880</v>
      </c>
      <c r="D508" s="29" t="s">
        <v>1881</v>
      </c>
      <c r="E508" s="8" t="s">
        <v>195</v>
      </c>
      <c r="F508" s="8" t="s">
        <v>24</v>
      </c>
      <c r="G508" s="25"/>
      <c r="H508" s="27"/>
      <c r="I508" s="8"/>
      <c r="J508" s="8"/>
      <c r="K508" s="8"/>
      <c r="L508" s="8"/>
      <c r="M508" s="8"/>
      <c r="N508" s="8"/>
      <c r="O508" s="8"/>
      <c r="P508" s="8"/>
    </row>
    <row r="509" spans="1:16" ht="30" x14ac:dyDescent="0.25">
      <c r="A509" s="8" t="s">
        <v>1878</v>
      </c>
      <c r="B509" s="8" t="s">
        <v>2881</v>
      </c>
      <c r="C509" s="8" t="s">
        <v>2882</v>
      </c>
      <c r="D509" s="29" t="s">
        <v>1881</v>
      </c>
      <c r="E509" s="8" t="s">
        <v>195</v>
      </c>
      <c r="F509" s="8" t="s">
        <v>24</v>
      </c>
      <c r="G509" s="25"/>
      <c r="H509" s="27"/>
      <c r="I509" s="8"/>
      <c r="J509" s="8"/>
      <c r="K509" s="8"/>
      <c r="L509" s="8"/>
      <c r="M509" s="8"/>
      <c r="N509" s="8"/>
      <c r="O509" s="8"/>
      <c r="P509" s="8"/>
    </row>
    <row r="510" spans="1:16" x14ac:dyDescent="0.25">
      <c r="A510" s="8" t="s">
        <v>1874</v>
      </c>
      <c r="B510" s="8" t="s">
        <v>2883</v>
      </c>
      <c r="C510" s="8" t="s">
        <v>2884</v>
      </c>
      <c r="D510" s="29" t="s">
        <v>2030</v>
      </c>
      <c r="E510" s="8" t="s">
        <v>24</v>
      </c>
      <c r="F510" s="8" t="s">
        <v>24</v>
      </c>
      <c r="G510" s="25"/>
      <c r="H510" s="27"/>
      <c r="I510" s="8"/>
      <c r="J510" s="8"/>
      <c r="K510" s="8"/>
      <c r="L510" s="8"/>
      <c r="M510" s="8"/>
      <c r="N510" s="8"/>
      <c r="O510" s="8"/>
      <c r="P510" s="8"/>
    </row>
    <row r="511" spans="1:16" x14ac:dyDescent="0.25">
      <c r="A511" s="8" t="s">
        <v>1874</v>
      </c>
      <c r="B511" s="8" t="s">
        <v>2885</v>
      </c>
      <c r="C511" s="8" t="s">
        <v>2886</v>
      </c>
      <c r="D511" s="29" t="s">
        <v>1877</v>
      </c>
      <c r="E511" s="8" t="s">
        <v>24</v>
      </c>
      <c r="F511" s="8" t="s">
        <v>24</v>
      </c>
      <c r="G511" s="25">
        <v>10</v>
      </c>
      <c r="H511" s="27"/>
      <c r="I511" s="8"/>
      <c r="J511" s="8"/>
      <c r="K511" s="8"/>
      <c r="L511" s="8"/>
      <c r="M511" s="8"/>
      <c r="N511" s="8"/>
      <c r="O511" s="8"/>
      <c r="P511" s="8"/>
    </row>
    <row r="512" spans="1:16" x14ac:dyDescent="0.25">
      <c r="A512" s="8" t="s">
        <v>1874</v>
      </c>
      <c r="B512" s="8" t="s">
        <v>2887</v>
      </c>
      <c r="C512" s="8" t="s">
        <v>2888</v>
      </c>
      <c r="D512" s="29" t="s">
        <v>1877</v>
      </c>
      <c r="E512" s="8" t="s">
        <v>195</v>
      </c>
      <c r="F512" s="8" t="s">
        <v>24</v>
      </c>
      <c r="G512" s="25"/>
      <c r="H512" s="27"/>
      <c r="I512" s="8"/>
      <c r="J512" s="8"/>
      <c r="K512" s="8"/>
      <c r="L512" s="8"/>
      <c r="M512" s="8"/>
      <c r="N512" s="8"/>
      <c r="O512" s="8"/>
      <c r="P512" s="8"/>
    </row>
    <row r="513" spans="1:16" x14ac:dyDescent="0.25">
      <c r="A513" s="8" t="s">
        <v>1874</v>
      </c>
      <c r="B513" s="8" t="s">
        <v>2889</v>
      </c>
      <c r="C513" s="8" t="s">
        <v>2890</v>
      </c>
      <c r="D513" s="29" t="s">
        <v>1877</v>
      </c>
      <c r="E513" s="8" t="s">
        <v>24</v>
      </c>
      <c r="F513" s="8" t="s">
        <v>24</v>
      </c>
      <c r="G513" s="25"/>
      <c r="H513" s="27"/>
      <c r="I513" s="8"/>
      <c r="J513" s="8"/>
      <c r="K513" s="8"/>
      <c r="L513" s="8"/>
      <c r="M513" s="8"/>
      <c r="N513" s="8"/>
      <c r="O513" s="8"/>
      <c r="P513" s="8"/>
    </row>
    <row r="514" spans="1:16" x14ac:dyDescent="0.25">
      <c r="A514" s="8" t="s">
        <v>1874</v>
      </c>
      <c r="B514" s="8" t="s">
        <v>2891</v>
      </c>
      <c r="C514" s="8" t="s">
        <v>2892</v>
      </c>
      <c r="D514" s="29" t="s">
        <v>1877</v>
      </c>
      <c r="E514" s="8" t="s">
        <v>24</v>
      </c>
      <c r="F514" s="8" t="s">
        <v>24</v>
      </c>
      <c r="G514" s="25"/>
      <c r="H514" s="27"/>
      <c r="I514" s="8"/>
      <c r="J514" s="8"/>
      <c r="K514" s="8"/>
      <c r="L514" s="8"/>
      <c r="M514" s="8"/>
      <c r="N514" s="8"/>
      <c r="O514" s="8"/>
      <c r="P514" s="8"/>
    </row>
    <row r="515" spans="1:16" x14ac:dyDescent="0.25">
      <c r="A515" s="8" t="s">
        <v>1874</v>
      </c>
      <c r="B515" s="8" t="s">
        <v>2893</v>
      </c>
      <c r="C515" s="8" t="s">
        <v>2894</v>
      </c>
      <c r="D515" s="29" t="s">
        <v>1877</v>
      </c>
      <c r="E515" s="8" t="s">
        <v>195</v>
      </c>
      <c r="F515" s="8" t="s">
        <v>24</v>
      </c>
      <c r="G515" s="25"/>
      <c r="H515" s="27"/>
      <c r="I515" s="8"/>
      <c r="J515" s="8"/>
      <c r="K515" s="8"/>
      <c r="L515" s="8"/>
      <c r="M515" s="8"/>
      <c r="N515" s="8"/>
      <c r="O515" s="8"/>
      <c r="P515" s="8"/>
    </row>
    <row r="516" spans="1:16" x14ac:dyDescent="0.25">
      <c r="A516" s="8" t="s">
        <v>1874</v>
      </c>
      <c r="B516" s="8" t="s">
        <v>2895</v>
      </c>
      <c r="C516" s="8" t="s">
        <v>2896</v>
      </c>
      <c r="D516" s="29" t="s">
        <v>1877</v>
      </c>
      <c r="E516" s="8" t="s">
        <v>195</v>
      </c>
      <c r="F516" s="8" t="s">
        <v>24</v>
      </c>
      <c r="G516" s="25"/>
      <c r="H516" s="27"/>
      <c r="I516" s="8"/>
      <c r="J516" s="8"/>
      <c r="K516" s="8"/>
      <c r="L516" s="8"/>
      <c r="M516" s="8"/>
      <c r="N516" s="8"/>
      <c r="O516" s="8"/>
      <c r="P516" s="8"/>
    </row>
    <row r="517" spans="1:16" x14ac:dyDescent="0.25">
      <c r="A517" s="8" t="s">
        <v>1874</v>
      </c>
      <c r="B517" s="8" t="s">
        <v>2897</v>
      </c>
      <c r="C517" s="8" t="s">
        <v>2898</v>
      </c>
      <c r="D517" s="29" t="s">
        <v>1877</v>
      </c>
      <c r="E517" s="8" t="s">
        <v>195</v>
      </c>
      <c r="F517" s="8" t="s">
        <v>24</v>
      </c>
      <c r="G517" s="25">
        <v>30</v>
      </c>
      <c r="H517" s="27"/>
      <c r="I517" s="8"/>
      <c r="J517" s="8"/>
      <c r="K517" s="8"/>
      <c r="L517" s="8"/>
      <c r="M517" s="8"/>
      <c r="N517" s="8"/>
      <c r="O517" s="8"/>
      <c r="P517" s="8"/>
    </row>
    <row r="518" spans="1:16" x14ac:dyDescent="0.25">
      <c r="A518" s="8" t="s">
        <v>1874</v>
      </c>
      <c r="B518" s="8" t="s">
        <v>2899</v>
      </c>
      <c r="C518" s="8" t="s">
        <v>2900</v>
      </c>
      <c r="D518" s="29" t="s">
        <v>1877</v>
      </c>
      <c r="E518" s="8" t="s">
        <v>195</v>
      </c>
      <c r="F518" s="8" t="s">
        <v>24</v>
      </c>
      <c r="G518" s="25"/>
      <c r="H518" s="27"/>
      <c r="I518" s="8"/>
      <c r="J518" s="8"/>
      <c r="K518" s="8"/>
      <c r="L518" s="8"/>
      <c r="M518" s="8"/>
      <c r="N518" s="8"/>
      <c r="O518" s="8"/>
      <c r="P518" s="8"/>
    </row>
    <row r="519" spans="1:16" x14ac:dyDescent="0.25">
      <c r="A519" s="8" t="s">
        <v>1874</v>
      </c>
      <c r="B519" s="8" t="s">
        <v>2901</v>
      </c>
      <c r="C519" s="8" t="s">
        <v>2902</v>
      </c>
      <c r="D519" s="29" t="s">
        <v>1877</v>
      </c>
      <c r="E519" s="8" t="s">
        <v>195</v>
      </c>
      <c r="F519" s="8" t="s">
        <v>24</v>
      </c>
      <c r="G519" s="25"/>
      <c r="H519" s="27"/>
      <c r="I519" s="8"/>
      <c r="J519" s="8"/>
      <c r="K519" s="8"/>
      <c r="L519" s="8"/>
      <c r="M519" s="8"/>
      <c r="N519" s="8"/>
      <c r="O519" s="8"/>
      <c r="P519" s="8"/>
    </row>
    <row r="520" spans="1:16" x14ac:dyDescent="0.25">
      <c r="A520" s="8" t="s">
        <v>1914</v>
      </c>
      <c r="B520" s="8" t="s">
        <v>2903</v>
      </c>
      <c r="C520" s="8" t="s">
        <v>2904</v>
      </c>
      <c r="D520" s="29" t="s">
        <v>1917</v>
      </c>
      <c r="E520" s="8" t="s">
        <v>195</v>
      </c>
      <c r="F520" s="8" t="s">
        <v>24</v>
      </c>
      <c r="G520" s="25"/>
      <c r="H520" s="27" t="str">
        <f>HYPERLINK("https://doc.morningstar.com/Document/8ffe639afee581ca32e5a46eb4d81649.msdoc?clientid=fnz&amp;key=9c0e4d166b60ffd3","TMD")</f>
        <v>TMD</v>
      </c>
      <c r="I520" s="8" t="s">
        <v>25</v>
      </c>
      <c r="J520" s="8" t="s">
        <v>26</v>
      </c>
      <c r="K520" s="8" t="s">
        <v>26</v>
      </c>
      <c r="L520" s="8" t="s">
        <v>26</v>
      </c>
      <c r="M520" s="8" t="s">
        <v>26</v>
      </c>
      <c r="N520" s="8" t="s">
        <v>26</v>
      </c>
      <c r="O520" s="8" t="s">
        <v>26</v>
      </c>
      <c r="P520" s="8" t="s">
        <v>27</v>
      </c>
    </row>
    <row r="521" spans="1:16" x14ac:dyDescent="0.25">
      <c r="A521" s="8" t="s">
        <v>1914</v>
      </c>
      <c r="B521" s="8" t="s">
        <v>2905</v>
      </c>
      <c r="C521" s="8" t="s">
        <v>2906</v>
      </c>
      <c r="D521" s="29" t="s">
        <v>1917</v>
      </c>
      <c r="E521" s="8" t="s">
        <v>24</v>
      </c>
      <c r="F521" s="8" t="s">
        <v>24</v>
      </c>
      <c r="G521" s="25">
        <v>35</v>
      </c>
      <c r="H521" s="27" t="str">
        <f>HYPERLINK("https://doc.morningstar.com/Document/51bd88f532d3bbfec3a50151daa3ffc8.msdoc?clientid=fnz&amp;key=9c0e4d166b60ffd3","TMD")</f>
        <v>TMD</v>
      </c>
      <c r="I521" s="8" t="s">
        <v>25</v>
      </c>
      <c r="J521" s="8" t="s">
        <v>26</v>
      </c>
      <c r="K521" s="8" t="s">
        <v>26</v>
      </c>
      <c r="L521" s="8" t="s">
        <v>26</v>
      </c>
      <c r="M521" s="8" t="s">
        <v>26</v>
      </c>
      <c r="N521" s="8" t="s">
        <v>26</v>
      </c>
      <c r="O521" s="8" t="s">
        <v>26</v>
      </c>
      <c r="P521" s="8" t="s">
        <v>27</v>
      </c>
    </row>
    <row r="522" spans="1:16" x14ac:dyDescent="0.25">
      <c r="A522" s="8" t="s">
        <v>1914</v>
      </c>
      <c r="B522" s="8" t="s">
        <v>2907</v>
      </c>
      <c r="C522" s="8" t="s">
        <v>2908</v>
      </c>
      <c r="D522" s="29" t="s">
        <v>1917</v>
      </c>
      <c r="E522" s="8" t="s">
        <v>24</v>
      </c>
      <c r="F522" s="8" t="s">
        <v>24</v>
      </c>
      <c r="G522" s="25">
        <v>30</v>
      </c>
      <c r="H522" s="27" t="str">
        <f>HYPERLINK("https://doc.morningstar.com/Document/3b592af06350c5d7d790c4b86cb1ca13.msdoc?clientid=fnz&amp;key=9c0e4d166b60ffd3","TMD")</f>
        <v>TMD</v>
      </c>
      <c r="I522" s="8" t="s">
        <v>25</v>
      </c>
      <c r="J522" s="8" t="s">
        <v>26</v>
      </c>
      <c r="K522" s="8" t="s">
        <v>26</v>
      </c>
      <c r="L522" s="8" t="s">
        <v>26</v>
      </c>
      <c r="M522" s="8" t="s">
        <v>26</v>
      </c>
      <c r="N522" s="8" t="s">
        <v>26</v>
      </c>
      <c r="O522" s="8" t="s">
        <v>26</v>
      </c>
      <c r="P522" s="8" t="s">
        <v>27</v>
      </c>
    </row>
    <row r="523" spans="1:16" x14ac:dyDescent="0.25">
      <c r="A523" s="8" t="s">
        <v>1914</v>
      </c>
      <c r="B523" s="8" t="s">
        <v>2909</v>
      </c>
      <c r="C523" s="8" t="s">
        <v>2910</v>
      </c>
      <c r="D523" s="29" t="s">
        <v>1917</v>
      </c>
      <c r="E523" s="8" t="s">
        <v>24</v>
      </c>
      <c r="F523" s="8" t="s">
        <v>24</v>
      </c>
      <c r="G523" s="25"/>
      <c r="H523" s="27" t="str">
        <f>HYPERLINK("https://doc.morningstar.com/Document/e9a5f7d137aab902cde8866fccd0ed64.msdoc?clientid=fnz&amp;key=9c0e4d166b60ffd3","TMD")</f>
        <v>TMD</v>
      </c>
      <c r="I523" s="8" t="s">
        <v>25</v>
      </c>
      <c r="J523" s="8" t="s">
        <v>26</v>
      </c>
      <c r="K523" s="8" t="s">
        <v>26</v>
      </c>
      <c r="L523" s="8" t="s">
        <v>26</v>
      </c>
      <c r="M523" s="8" t="s">
        <v>26</v>
      </c>
      <c r="N523" s="8" t="s">
        <v>26</v>
      </c>
      <c r="O523" s="8" t="s">
        <v>26</v>
      </c>
      <c r="P523" s="8" t="s">
        <v>26</v>
      </c>
    </row>
    <row r="524" spans="1:16" x14ac:dyDescent="0.25">
      <c r="A524" s="8" t="s">
        <v>1914</v>
      </c>
      <c r="B524" s="8" t="s">
        <v>2911</v>
      </c>
      <c r="C524" s="8" t="s">
        <v>2912</v>
      </c>
      <c r="D524" s="29" t="s">
        <v>1917</v>
      </c>
      <c r="E524" s="8" t="s">
        <v>24</v>
      </c>
      <c r="F524" s="8" t="s">
        <v>24</v>
      </c>
      <c r="G524" s="25"/>
      <c r="H524" s="27" t="str">
        <f>HYPERLINK("https://doc.morningstar.com/Document/6b6f67c08fc8ddff6728fcd34e3358ff.msdoc?clientid=fnz&amp;key=9c0e4d166b60ffd3","TMD")</f>
        <v>TMD</v>
      </c>
      <c r="I524" s="8" t="s">
        <v>25</v>
      </c>
      <c r="J524" s="8" t="s">
        <v>26</v>
      </c>
      <c r="K524" s="8" t="s">
        <v>26</v>
      </c>
      <c r="L524" s="8" t="s">
        <v>26</v>
      </c>
      <c r="M524" s="8" t="s">
        <v>26</v>
      </c>
      <c r="N524" s="8" t="s">
        <v>26</v>
      </c>
      <c r="O524" s="8" t="s">
        <v>26</v>
      </c>
      <c r="P524" s="8" t="s">
        <v>27</v>
      </c>
    </row>
    <row r="525" spans="1:16" x14ac:dyDescent="0.25">
      <c r="A525" s="8" t="s">
        <v>1914</v>
      </c>
      <c r="B525" s="8" t="s">
        <v>2913</v>
      </c>
      <c r="C525" s="8" t="s">
        <v>2914</v>
      </c>
      <c r="D525" s="29" t="s">
        <v>1917</v>
      </c>
      <c r="E525" s="8" t="s">
        <v>195</v>
      </c>
      <c r="F525" s="8" t="s">
        <v>24</v>
      </c>
      <c r="G525" s="25"/>
      <c r="H525" s="27" t="str">
        <f>HYPERLINK("https://doc.morningstar.com/Document/8caa6f982a46e65f9726de0a9047bf9e.msdoc?clientid=fnz&amp;key=9c0e4d166b60ffd3","TMD")</f>
        <v>TMD</v>
      </c>
      <c r="I525" s="8" t="s">
        <v>25</v>
      </c>
      <c r="J525" s="8" t="s">
        <v>26</v>
      </c>
      <c r="K525" s="8" t="s">
        <v>26</v>
      </c>
      <c r="L525" s="8" t="s">
        <v>26</v>
      </c>
      <c r="M525" s="8" t="s">
        <v>26</v>
      </c>
      <c r="N525" s="8" t="s">
        <v>26</v>
      </c>
      <c r="O525" s="8" t="s">
        <v>27</v>
      </c>
      <c r="P525" s="8" t="s">
        <v>27</v>
      </c>
    </row>
    <row r="526" spans="1:16" x14ac:dyDescent="0.25">
      <c r="A526" s="8" t="s">
        <v>1914</v>
      </c>
      <c r="B526" s="8" t="s">
        <v>2915</v>
      </c>
      <c r="C526" s="8" t="s">
        <v>2916</v>
      </c>
      <c r="D526" s="29" t="s">
        <v>1917</v>
      </c>
      <c r="E526" s="8" t="s">
        <v>24</v>
      </c>
      <c r="F526" s="8" t="s">
        <v>24</v>
      </c>
      <c r="G526" s="25">
        <v>30</v>
      </c>
      <c r="H526" s="27" t="str">
        <f>HYPERLINK("https://doc.morningstar.com/Document/c2804d028a87b11bdf580b6b5704476c.msdoc?clientid=fnz&amp;key=9c0e4d166b60ffd3","TMD")</f>
        <v>TMD</v>
      </c>
      <c r="I526" s="8" t="s">
        <v>25</v>
      </c>
      <c r="J526" s="8" t="s">
        <v>26</v>
      </c>
      <c r="K526" s="8" t="s">
        <v>26</v>
      </c>
      <c r="L526" s="8" t="s">
        <v>26</v>
      </c>
      <c r="M526" s="8" t="s">
        <v>26</v>
      </c>
      <c r="N526" s="8" t="s">
        <v>26</v>
      </c>
      <c r="O526" s="8" t="s">
        <v>26</v>
      </c>
      <c r="P526" s="8" t="s">
        <v>27</v>
      </c>
    </row>
    <row r="527" spans="1:16" x14ac:dyDescent="0.25">
      <c r="A527" s="8" t="s">
        <v>1914</v>
      </c>
      <c r="B527" s="8" t="s">
        <v>2917</v>
      </c>
      <c r="C527" s="8" t="s">
        <v>2918</v>
      </c>
      <c r="D527" s="29" t="s">
        <v>1917</v>
      </c>
      <c r="E527" s="8" t="s">
        <v>24</v>
      </c>
      <c r="F527" s="8" t="s">
        <v>24</v>
      </c>
      <c r="G527" s="25">
        <v>30</v>
      </c>
      <c r="H527" s="27" t="str">
        <f>HYPERLINK("https://doc.morningstar.com/Document/ca0486c25be00b436d2a664c81b89d1b.msdoc?clientid=fnz&amp;key=9c0e4d166b60ffd3","TMD")</f>
        <v>TMD</v>
      </c>
      <c r="I527" s="8" t="s">
        <v>25</v>
      </c>
      <c r="J527" s="8" t="s">
        <v>26</v>
      </c>
      <c r="K527" s="8" t="s">
        <v>26</v>
      </c>
      <c r="L527" s="8" t="s">
        <v>26</v>
      </c>
      <c r="M527" s="8" t="s">
        <v>26</v>
      </c>
      <c r="N527" s="8" t="s">
        <v>26</v>
      </c>
      <c r="O527" s="8" t="s">
        <v>27</v>
      </c>
      <c r="P527" s="8" t="s">
        <v>27</v>
      </c>
    </row>
    <row r="528" spans="1:16" x14ac:dyDescent="0.25">
      <c r="A528" s="8" t="s">
        <v>1914</v>
      </c>
      <c r="B528" s="8" t="s">
        <v>2919</v>
      </c>
      <c r="C528" s="8" t="s">
        <v>2920</v>
      </c>
      <c r="D528" s="29" t="s">
        <v>1917</v>
      </c>
      <c r="E528" s="8" t="s">
        <v>24</v>
      </c>
      <c r="F528" s="8" t="s">
        <v>24</v>
      </c>
      <c r="G528" s="25">
        <v>20</v>
      </c>
      <c r="H528" s="27" t="str">
        <f>HYPERLINK("https://doc.morningstar.com/Document/6992f4023f1342d28116f8bfa2a5c63c.msdoc?clientid=fnz&amp;key=9c0e4d166b60ffd3","TMD")</f>
        <v>TMD</v>
      </c>
      <c r="I528" s="8" t="s">
        <v>25</v>
      </c>
      <c r="J528" s="8" t="s">
        <v>26</v>
      </c>
      <c r="K528" s="8" t="s">
        <v>26</v>
      </c>
      <c r="L528" s="8" t="s">
        <v>26</v>
      </c>
      <c r="M528" s="8" t="s">
        <v>26</v>
      </c>
      <c r="N528" s="8" t="s">
        <v>27</v>
      </c>
      <c r="O528" s="8" t="s">
        <v>27</v>
      </c>
      <c r="P528" s="8" t="s">
        <v>27</v>
      </c>
    </row>
    <row r="529" spans="1:16" x14ac:dyDescent="0.25">
      <c r="A529" s="8" t="s">
        <v>1914</v>
      </c>
      <c r="B529" s="8" t="s">
        <v>2921</v>
      </c>
      <c r="C529" s="8" t="s">
        <v>2922</v>
      </c>
      <c r="D529" s="29" t="s">
        <v>1917</v>
      </c>
      <c r="E529" s="8" t="s">
        <v>24</v>
      </c>
      <c r="F529" s="8" t="s">
        <v>24</v>
      </c>
      <c r="G529" s="25"/>
      <c r="H529" s="27" t="str">
        <f>HYPERLINK("https://doc.morningstar.com/Document/3b5d122bccc11c2b2c3b8621192c5363.msdoc?clientid=fnz&amp;key=9c0e4d166b60ffd3","TMD")</f>
        <v>TMD</v>
      </c>
      <c r="I529" s="8" t="s">
        <v>25</v>
      </c>
      <c r="J529" s="8" t="s">
        <v>26</v>
      </c>
      <c r="K529" s="8" t="s">
        <v>26</v>
      </c>
      <c r="L529" s="8" t="s">
        <v>26</v>
      </c>
      <c r="M529" s="8" t="s">
        <v>26</v>
      </c>
      <c r="N529" s="8" t="s">
        <v>26</v>
      </c>
      <c r="O529" s="8" t="s">
        <v>26</v>
      </c>
      <c r="P529" s="8" t="s">
        <v>27</v>
      </c>
    </row>
    <row r="530" spans="1:16" x14ac:dyDescent="0.25">
      <c r="A530" s="8" t="s">
        <v>1914</v>
      </c>
      <c r="B530" s="8" t="s">
        <v>2923</v>
      </c>
      <c r="C530" s="8" t="s">
        <v>2924</v>
      </c>
      <c r="D530" s="29" t="s">
        <v>1917</v>
      </c>
      <c r="E530" s="8" t="s">
        <v>195</v>
      </c>
      <c r="F530" s="8" t="s">
        <v>24</v>
      </c>
      <c r="G530" s="25"/>
      <c r="H530" s="27" t="str">
        <f>HYPERLINK("https://doc.morningstar.com/Document/3b592af06350c5d7da0226f85d338da0.msdoc?clientid=fnz&amp;key=9c0e4d166b60ffd3","TMD")</f>
        <v>TMD</v>
      </c>
      <c r="I530" s="8" t="s">
        <v>25</v>
      </c>
      <c r="J530" s="8" t="s">
        <v>26</v>
      </c>
      <c r="K530" s="8" t="s">
        <v>26</v>
      </c>
      <c r="L530" s="8" t="s">
        <v>26</v>
      </c>
      <c r="M530" s="8" t="s">
        <v>26</v>
      </c>
      <c r="N530" s="8" t="s">
        <v>26</v>
      </c>
      <c r="O530" s="8" t="s">
        <v>26</v>
      </c>
      <c r="P530" s="8" t="s">
        <v>27</v>
      </c>
    </row>
    <row r="531" spans="1:16" x14ac:dyDescent="0.25">
      <c r="A531" s="8" t="s">
        <v>1914</v>
      </c>
      <c r="B531" s="8" t="s">
        <v>2925</v>
      </c>
      <c r="C531" s="8" t="s">
        <v>2926</v>
      </c>
      <c r="D531" s="29" t="s">
        <v>1917</v>
      </c>
      <c r="E531" s="8" t="s">
        <v>195</v>
      </c>
      <c r="F531" s="8" t="s">
        <v>24</v>
      </c>
      <c r="G531" s="25"/>
      <c r="H531" s="27" t="str">
        <f>HYPERLINK("https://doc.morningstar.com/Document/4ec2fb9432dbd029190538d8fcf5d71f.msdoc?clientid=fnz&amp;key=9c0e4d166b60ffd3","TMD")</f>
        <v>TMD</v>
      </c>
      <c r="I531" s="8" t="s">
        <v>25</v>
      </c>
      <c r="J531" s="8" t="s">
        <v>26</v>
      </c>
      <c r="K531" s="8" t="s">
        <v>26</v>
      </c>
      <c r="L531" s="8" t="s">
        <v>26</v>
      </c>
      <c r="M531" s="8" t="s">
        <v>26</v>
      </c>
      <c r="N531" s="8" t="s">
        <v>27</v>
      </c>
      <c r="O531" s="8" t="s">
        <v>27</v>
      </c>
      <c r="P531" s="8" t="s">
        <v>27</v>
      </c>
    </row>
    <row r="532" spans="1:16" x14ac:dyDescent="0.25">
      <c r="A532" s="8" t="s">
        <v>1914</v>
      </c>
      <c r="B532" s="8" t="s">
        <v>2927</v>
      </c>
      <c r="C532" s="8" t="s">
        <v>2928</v>
      </c>
      <c r="D532" s="29" t="s">
        <v>1917</v>
      </c>
      <c r="E532" s="8" t="s">
        <v>195</v>
      </c>
      <c r="F532" s="8" t="s">
        <v>24</v>
      </c>
      <c r="G532" s="25"/>
      <c r="H532" s="27" t="str">
        <f>HYPERLINK("https://doc.morningstar.com/Document/77db438e0a0f9d77be015968eb0c4f9c.msdoc?clientid=fnz&amp;key=9c0e4d166b60ffd3","TMD")</f>
        <v>TMD</v>
      </c>
      <c r="I532" s="8" t="s">
        <v>25</v>
      </c>
      <c r="J532" s="8" t="s">
        <v>26</v>
      </c>
      <c r="K532" s="8" t="s">
        <v>26</v>
      </c>
      <c r="L532" s="8" t="s">
        <v>26</v>
      </c>
      <c r="M532" s="8" t="s">
        <v>26</v>
      </c>
      <c r="N532" s="8" t="s">
        <v>26</v>
      </c>
      <c r="O532" s="8" t="s">
        <v>26</v>
      </c>
      <c r="P532" s="8" t="s">
        <v>27</v>
      </c>
    </row>
    <row r="533" spans="1:16" x14ac:dyDescent="0.25">
      <c r="A533" s="8" t="s">
        <v>1914</v>
      </c>
      <c r="B533" s="8" t="s">
        <v>2929</v>
      </c>
      <c r="C533" s="8" t="s">
        <v>2930</v>
      </c>
      <c r="D533" s="29" t="s">
        <v>1917</v>
      </c>
      <c r="E533" s="8" t="s">
        <v>24</v>
      </c>
      <c r="F533" s="8" t="s">
        <v>24</v>
      </c>
      <c r="G533" s="25">
        <v>30</v>
      </c>
      <c r="H533" s="27" t="str">
        <f>HYPERLINK("https://doc.morningstar.com/Document/1ba373090e8b3d0f7e96f9e569322555.msdoc?clientid=fnz&amp;key=9c0e4d166b60ffd3","TMD")</f>
        <v>TMD</v>
      </c>
      <c r="I533" s="8" t="s">
        <v>25</v>
      </c>
      <c r="J533" s="8" t="s">
        <v>26</v>
      </c>
      <c r="K533" s="8" t="s">
        <v>26</v>
      </c>
      <c r="L533" s="8" t="s">
        <v>26</v>
      </c>
      <c r="M533" s="8" t="s">
        <v>26</v>
      </c>
      <c r="N533" s="8" t="s">
        <v>26</v>
      </c>
      <c r="O533" s="8" t="s">
        <v>27</v>
      </c>
      <c r="P533" s="8" t="s">
        <v>27</v>
      </c>
    </row>
    <row r="534" spans="1:16" x14ac:dyDescent="0.25">
      <c r="A534" s="8" t="s">
        <v>1914</v>
      </c>
      <c r="B534" s="8" t="s">
        <v>2931</v>
      </c>
      <c r="C534" s="8" t="s">
        <v>2932</v>
      </c>
      <c r="D534" s="29" t="s">
        <v>1917</v>
      </c>
      <c r="E534" s="8" t="s">
        <v>195</v>
      </c>
      <c r="F534" s="8" t="s">
        <v>24</v>
      </c>
      <c r="G534" s="25"/>
      <c r="H534" s="27" t="str">
        <f>HYPERLINK("https://doc.morningstar.com/Document/2cd286d9fac52bd9716184b335a7b118.msdoc?clientid=fnz&amp;key=9c0e4d166b60ffd3","TMD")</f>
        <v>TMD</v>
      </c>
      <c r="I534" s="8" t="s">
        <v>25</v>
      </c>
      <c r="J534" s="8" t="s">
        <v>26</v>
      </c>
      <c r="K534" s="8" t="s">
        <v>26</v>
      </c>
      <c r="L534" s="8" t="s">
        <v>26</v>
      </c>
      <c r="M534" s="8" t="s">
        <v>26</v>
      </c>
      <c r="N534" s="8" t="s">
        <v>26</v>
      </c>
      <c r="O534" s="8" t="s">
        <v>27</v>
      </c>
      <c r="P534" s="8" t="s">
        <v>27</v>
      </c>
    </row>
    <row r="535" spans="1:16" x14ac:dyDescent="0.25">
      <c r="A535" s="8" t="s">
        <v>1914</v>
      </c>
      <c r="B535" s="8" t="s">
        <v>2933</v>
      </c>
      <c r="C535" s="8" t="s">
        <v>2934</v>
      </c>
      <c r="D535" s="29" t="s">
        <v>1917</v>
      </c>
      <c r="E535" s="8" t="s">
        <v>195</v>
      </c>
      <c r="F535" s="8" t="s">
        <v>24</v>
      </c>
      <c r="G535" s="25"/>
      <c r="H535" s="27" t="str">
        <f>HYPERLINK("https://doc.morningstar.com/Document/49e23c435b94b02e4aefa4e2e508d2dc.msdoc?clientid=fnz&amp;key=9c0e4d166b60ffd3","TMD")</f>
        <v>TMD</v>
      </c>
      <c r="I535" s="8" t="s">
        <v>25</v>
      </c>
      <c r="J535" s="8" t="s">
        <v>25</v>
      </c>
      <c r="K535" s="8" t="s">
        <v>25</v>
      </c>
      <c r="L535" s="8" t="s">
        <v>25</v>
      </c>
      <c r="M535" s="8" t="s">
        <v>26</v>
      </c>
      <c r="N535" s="8" t="s">
        <v>26</v>
      </c>
      <c r="O535" s="8" t="s">
        <v>26</v>
      </c>
      <c r="P535" s="8" t="s">
        <v>27</v>
      </c>
    </row>
    <row r="536" spans="1:16" x14ac:dyDescent="0.25">
      <c r="A536" s="8" t="s">
        <v>1914</v>
      </c>
      <c r="B536" s="8" t="s">
        <v>2935</v>
      </c>
      <c r="C536" s="8" t="s">
        <v>2936</v>
      </c>
      <c r="D536" s="29" t="s">
        <v>1917</v>
      </c>
      <c r="E536" s="8" t="s">
        <v>195</v>
      </c>
      <c r="F536" s="8" t="s">
        <v>24</v>
      </c>
      <c r="G536" s="25"/>
      <c r="H536" s="27" t="str">
        <f>HYPERLINK("https://doc.morningstar.com/Document/ab0a5a67e61864cf7c6cc80a2ce2a61a.msdoc?clientid=fnz&amp;key=9c0e4d166b60ffd3","TMD")</f>
        <v>TMD</v>
      </c>
      <c r="I536" s="8" t="s">
        <v>25</v>
      </c>
      <c r="J536" s="8" t="s">
        <v>25</v>
      </c>
      <c r="K536" s="8" t="s">
        <v>25</v>
      </c>
      <c r="L536" s="8" t="s">
        <v>25</v>
      </c>
      <c r="M536" s="8" t="s">
        <v>26</v>
      </c>
      <c r="N536" s="8" t="s">
        <v>26</v>
      </c>
      <c r="O536" s="8" t="s">
        <v>26</v>
      </c>
      <c r="P536" s="8" t="s">
        <v>27</v>
      </c>
    </row>
    <row r="537" spans="1:16" x14ac:dyDescent="0.25">
      <c r="A537" s="8" t="s">
        <v>1914</v>
      </c>
      <c r="B537" s="8" t="s">
        <v>2937</v>
      </c>
      <c r="C537" s="8" t="s">
        <v>2938</v>
      </c>
      <c r="D537" s="29" t="s">
        <v>1917</v>
      </c>
      <c r="E537" s="8" t="s">
        <v>24</v>
      </c>
      <c r="F537" s="8" t="s">
        <v>24</v>
      </c>
      <c r="G537" s="25">
        <v>20</v>
      </c>
      <c r="H537" s="27" t="str">
        <f>HYPERLINK("https://doc.morningstar.com/Document/49e23c435b94b02e5fa6acb8f725c214.msdoc?clientid=fnz&amp;key=9c0e4d166b60ffd3","TMD")</f>
        <v>TMD</v>
      </c>
      <c r="I537" s="8" t="s">
        <v>25</v>
      </c>
      <c r="J537" s="8" t="s">
        <v>25</v>
      </c>
      <c r="K537" s="8" t="s">
        <v>25</v>
      </c>
      <c r="L537" s="8" t="s">
        <v>25</v>
      </c>
      <c r="M537" s="8" t="s">
        <v>26</v>
      </c>
      <c r="N537" s="8" t="s">
        <v>26</v>
      </c>
      <c r="O537" s="8" t="s">
        <v>26</v>
      </c>
      <c r="P537" s="8" t="s">
        <v>27</v>
      </c>
    </row>
    <row r="538" spans="1:16" x14ac:dyDescent="0.25">
      <c r="A538" s="8" t="s">
        <v>1914</v>
      </c>
      <c r="B538" s="8" t="s">
        <v>2939</v>
      </c>
      <c r="C538" s="8" t="s">
        <v>2940</v>
      </c>
      <c r="D538" s="29" t="s">
        <v>1917</v>
      </c>
      <c r="E538" s="8" t="s">
        <v>24</v>
      </c>
      <c r="F538" s="8" t="s">
        <v>24</v>
      </c>
      <c r="G538" s="25">
        <v>30</v>
      </c>
      <c r="H538" s="27" t="str">
        <f>HYPERLINK("https://doc.morningstar.com/Document/3b5d122bccc11c2b0c9681f181297fcc.msdoc?clientid=fnz&amp;key=9c0e4d166b60ffd3","TMD")</f>
        <v>TMD</v>
      </c>
      <c r="I538" s="8" t="s">
        <v>25</v>
      </c>
      <c r="J538" s="8" t="s">
        <v>26</v>
      </c>
      <c r="K538" s="8" t="s">
        <v>26</v>
      </c>
      <c r="L538" s="8" t="s">
        <v>26</v>
      </c>
      <c r="M538" s="8" t="s">
        <v>26</v>
      </c>
      <c r="N538" s="8" t="s">
        <v>26</v>
      </c>
      <c r="O538" s="8" t="s">
        <v>26</v>
      </c>
      <c r="P538" s="8" t="s">
        <v>27</v>
      </c>
    </row>
    <row r="539" spans="1:16" x14ac:dyDescent="0.25">
      <c r="A539" s="8" t="s">
        <v>1914</v>
      </c>
      <c r="B539" s="8" t="s">
        <v>2941</v>
      </c>
      <c r="C539" s="8" t="s">
        <v>2942</v>
      </c>
      <c r="D539" s="29" t="s">
        <v>1917</v>
      </c>
      <c r="E539" s="8" t="s">
        <v>24</v>
      </c>
      <c r="F539" s="8" t="s">
        <v>24</v>
      </c>
      <c r="G539" s="25">
        <v>20</v>
      </c>
      <c r="H539" s="27" t="str">
        <f>HYPERLINK("https://doc.morningstar.com/Document/bd3b0a8981c9c381329f87245e01162b.msdoc?clientid=fnz&amp;key=9c0e4d166b60ffd3","TMD")</f>
        <v>TMD</v>
      </c>
      <c r="I539" s="8" t="s">
        <v>25</v>
      </c>
      <c r="J539" s="8" t="s">
        <v>25</v>
      </c>
      <c r="K539" s="8" t="s">
        <v>25</v>
      </c>
      <c r="L539" s="8" t="s">
        <v>25</v>
      </c>
      <c r="M539" s="8" t="s">
        <v>26</v>
      </c>
      <c r="N539" s="8" t="s">
        <v>27</v>
      </c>
      <c r="O539" s="8" t="s">
        <v>27</v>
      </c>
      <c r="P539" s="8" t="s">
        <v>27</v>
      </c>
    </row>
    <row r="540" spans="1:16" x14ac:dyDescent="0.25">
      <c r="A540" s="8" t="s">
        <v>1914</v>
      </c>
      <c r="B540" s="8" t="s">
        <v>2943</v>
      </c>
      <c r="C540" s="8" t="s">
        <v>2944</v>
      </c>
      <c r="D540" s="29" t="s">
        <v>1917</v>
      </c>
      <c r="E540" s="8" t="s">
        <v>24</v>
      </c>
      <c r="F540" s="8" t="s">
        <v>24</v>
      </c>
      <c r="G540" s="25">
        <v>30</v>
      </c>
      <c r="H540" s="27" t="str">
        <f>HYPERLINK("https://doc.morningstar.com/Document/30749d0d1108a7a66340a173a48f51f8.msdoc?clientid=fnz&amp;key=9c0e4d166b60ffd3","TMD")</f>
        <v>TMD</v>
      </c>
      <c r="I540" s="8" t="s">
        <v>25</v>
      </c>
      <c r="J540" s="8" t="s">
        <v>26</v>
      </c>
      <c r="K540" s="8" t="s">
        <v>26</v>
      </c>
      <c r="L540" s="8" t="s">
        <v>26</v>
      </c>
      <c r="M540" s="8" t="s">
        <v>26</v>
      </c>
      <c r="N540" s="8" t="s">
        <v>26</v>
      </c>
      <c r="O540" s="8" t="s">
        <v>27</v>
      </c>
      <c r="P540" s="8" t="s">
        <v>27</v>
      </c>
    </row>
    <row r="541" spans="1:16" x14ac:dyDescent="0.25">
      <c r="A541" s="8" t="s">
        <v>1914</v>
      </c>
      <c r="B541" s="8" t="s">
        <v>2945</v>
      </c>
      <c r="C541" s="8" t="s">
        <v>2946</v>
      </c>
      <c r="D541" s="29" t="s">
        <v>1917</v>
      </c>
      <c r="E541" s="8" t="s">
        <v>24</v>
      </c>
      <c r="F541" s="8" t="s">
        <v>24</v>
      </c>
      <c r="G541" s="25">
        <v>100</v>
      </c>
      <c r="H541" s="27" t="str">
        <f>HYPERLINK("https://doc.morningstar.com/Document/52a1f7ef29d023e30c122cee01968732.msdoc?clientid=fnz&amp;key=9c0e4d166b60ffd3","TMD")</f>
        <v>TMD</v>
      </c>
      <c r="I541" s="8" t="s">
        <v>25</v>
      </c>
      <c r="J541" s="8" t="s">
        <v>26</v>
      </c>
      <c r="K541" s="8" t="s">
        <v>26</v>
      </c>
      <c r="L541" s="8" t="s">
        <v>26</v>
      </c>
      <c r="M541" s="8" t="s">
        <v>26</v>
      </c>
      <c r="N541" s="8" t="s">
        <v>26</v>
      </c>
      <c r="O541" s="8" t="s">
        <v>27</v>
      </c>
      <c r="P541" s="8" t="s">
        <v>27</v>
      </c>
    </row>
    <row r="542" spans="1:16" x14ac:dyDescent="0.25">
      <c r="A542" s="8" t="s">
        <v>1914</v>
      </c>
      <c r="B542" s="8" t="s">
        <v>2947</v>
      </c>
      <c r="C542" s="8" t="s">
        <v>2948</v>
      </c>
      <c r="D542" s="29" t="s">
        <v>1917</v>
      </c>
      <c r="E542" s="8" t="s">
        <v>195</v>
      </c>
      <c r="F542" s="8" t="s">
        <v>24</v>
      </c>
      <c r="G542" s="25"/>
      <c r="H542" s="27" t="str">
        <f>HYPERLINK("https://doc.morningstar.com/Document/f9040614948f9779f0a82d22e5c9ab3a.msdoc?clientid=fnz&amp;key=9c0e4d166b60ffd3","TMD")</f>
        <v>TMD</v>
      </c>
      <c r="I542" s="8" t="s">
        <v>25</v>
      </c>
      <c r="J542" s="8" t="s">
        <v>26</v>
      </c>
      <c r="K542" s="8" t="s">
        <v>26</v>
      </c>
      <c r="L542" s="8" t="s">
        <v>26</v>
      </c>
      <c r="M542" s="8" t="s">
        <v>26</v>
      </c>
      <c r="N542" s="8" t="s">
        <v>26</v>
      </c>
      <c r="O542" s="8" t="s">
        <v>26</v>
      </c>
      <c r="P542" s="8" t="s">
        <v>27</v>
      </c>
    </row>
    <row r="543" spans="1:16" x14ac:dyDescent="0.25">
      <c r="A543" s="8" t="s">
        <v>1914</v>
      </c>
      <c r="B543" s="8" t="s">
        <v>2949</v>
      </c>
      <c r="C543" s="8" t="s">
        <v>2950</v>
      </c>
      <c r="D543" s="29" t="s">
        <v>1917</v>
      </c>
      <c r="E543" s="8" t="s">
        <v>24</v>
      </c>
      <c r="F543" s="8" t="s">
        <v>24</v>
      </c>
      <c r="G543" s="25"/>
      <c r="H543" s="27" t="str">
        <f>HYPERLINK("https://doc.morningstar.com/Document/1b90cdd0d72a9b2a54a2325b125d16b6.msdoc?clientid=fnz&amp;key=9c0e4d166b60ffd3","TMD")</f>
        <v>TMD</v>
      </c>
      <c r="I543" s="8" t="s">
        <v>25</v>
      </c>
      <c r="J543" s="8" t="s">
        <v>26</v>
      </c>
      <c r="K543" s="8" t="s">
        <v>26</v>
      </c>
      <c r="L543" s="8" t="s">
        <v>26</v>
      </c>
      <c r="M543" s="8" t="s">
        <v>26</v>
      </c>
      <c r="N543" s="8" t="s">
        <v>26</v>
      </c>
      <c r="O543" s="8" t="s">
        <v>27</v>
      </c>
      <c r="P543" s="8" t="s">
        <v>27</v>
      </c>
    </row>
    <row r="544" spans="1:16" x14ac:dyDescent="0.25">
      <c r="A544" s="8" t="s">
        <v>1914</v>
      </c>
      <c r="B544" s="8" t="s">
        <v>2951</v>
      </c>
      <c r="C544" s="8" t="s">
        <v>2952</v>
      </c>
      <c r="D544" s="29" t="s">
        <v>1917</v>
      </c>
      <c r="E544" s="8" t="s">
        <v>24</v>
      </c>
      <c r="F544" s="8" t="s">
        <v>24</v>
      </c>
      <c r="G544" s="25">
        <v>100</v>
      </c>
      <c r="H544" s="27" t="str">
        <f>HYPERLINK("https://doc.morningstar.com/Document/793a6478496d39ab73c4f927e757d985.msdoc?clientid=fnz&amp;key=9c0e4d166b60ffd3","TMD")</f>
        <v>TMD</v>
      </c>
      <c r="I544" s="8" t="s">
        <v>25</v>
      </c>
      <c r="J544" s="8" t="s">
        <v>26</v>
      </c>
      <c r="K544" s="8" t="s">
        <v>26</v>
      </c>
      <c r="L544" s="8" t="s">
        <v>26</v>
      </c>
      <c r="M544" s="8" t="s">
        <v>26</v>
      </c>
      <c r="N544" s="8" t="s">
        <v>26</v>
      </c>
      <c r="O544" s="8" t="s">
        <v>27</v>
      </c>
      <c r="P544" s="8" t="s">
        <v>27</v>
      </c>
    </row>
    <row r="545" spans="1:16" x14ac:dyDescent="0.25">
      <c r="A545" s="8" t="s">
        <v>1914</v>
      </c>
      <c r="B545" s="8" t="s">
        <v>2953</v>
      </c>
      <c r="C545" s="8" t="s">
        <v>2954</v>
      </c>
      <c r="D545" s="29" t="s">
        <v>1917</v>
      </c>
      <c r="E545" s="8" t="s">
        <v>24</v>
      </c>
      <c r="F545" s="8" t="s">
        <v>24</v>
      </c>
      <c r="G545" s="25">
        <v>30</v>
      </c>
      <c r="H545" s="27" t="str">
        <f>HYPERLINK("https://doc.morningstar.com/Document/678d6d842ae58354d6362a828c4b221e.msdoc?clientid=fnz&amp;key=9c0e4d166b60ffd3","TMD")</f>
        <v>TMD</v>
      </c>
      <c r="I545" s="8" t="s">
        <v>25</v>
      </c>
      <c r="J545" s="8" t="s">
        <v>26</v>
      </c>
      <c r="K545" s="8" t="s">
        <v>26</v>
      </c>
      <c r="L545" s="8" t="s">
        <v>26</v>
      </c>
      <c r="M545" s="8" t="s">
        <v>26</v>
      </c>
      <c r="N545" s="8" t="s">
        <v>26</v>
      </c>
      <c r="O545" s="8" t="s">
        <v>26</v>
      </c>
      <c r="P545" s="8" t="s">
        <v>27</v>
      </c>
    </row>
    <row r="546" spans="1:16" x14ac:dyDescent="0.25">
      <c r="A546" s="8" t="s">
        <v>1914</v>
      </c>
      <c r="B546" s="8" t="s">
        <v>2955</v>
      </c>
      <c r="C546" s="8" t="s">
        <v>2956</v>
      </c>
      <c r="D546" s="29" t="s">
        <v>1917</v>
      </c>
      <c r="E546" s="8" t="s">
        <v>195</v>
      </c>
      <c r="F546" s="8" t="s">
        <v>24</v>
      </c>
      <c r="G546" s="25"/>
      <c r="H546" s="27" t="str">
        <f>HYPERLINK("https://doc.morningstar.com/Document/76baa29fe7db142d0992b7b1fadd68ae.msdoc?clientid=fnz&amp;key=9c0e4d166b60ffd3","TMD")</f>
        <v>TMD</v>
      </c>
      <c r="I546" s="8" t="s">
        <v>25</v>
      </c>
      <c r="J546" s="8" t="s">
        <v>26</v>
      </c>
      <c r="K546" s="8" t="s">
        <v>26</v>
      </c>
      <c r="L546" s="8" t="s">
        <v>26</v>
      </c>
      <c r="M546" s="8" t="s">
        <v>26</v>
      </c>
      <c r="N546" s="8" t="s">
        <v>26</v>
      </c>
      <c r="O546" s="8" t="s">
        <v>26</v>
      </c>
      <c r="P546" s="8" t="s">
        <v>26</v>
      </c>
    </row>
    <row r="547" spans="1:16" x14ac:dyDescent="0.25">
      <c r="A547" s="8" t="s">
        <v>1914</v>
      </c>
      <c r="B547" s="8" t="s">
        <v>2957</v>
      </c>
      <c r="C547" s="8" t="s">
        <v>2958</v>
      </c>
      <c r="D547" s="29" t="s">
        <v>1917</v>
      </c>
      <c r="E547" s="8" t="s">
        <v>195</v>
      </c>
      <c r="F547" s="8" t="s">
        <v>24</v>
      </c>
      <c r="G547" s="25"/>
      <c r="H547" s="27" t="str">
        <f>HYPERLINK("https://doc.morningstar.com/Document/f9040614948f9779ff54a970009fb6b3.msdoc?clientid=fnz&amp;key=9c0e4d166b60ffd3","TMD")</f>
        <v>TMD</v>
      </c>
      <c r="I547" s="8" t="s">
        <v>25</v>
      </c>
      <c r="J547" s="8" t="s">
        <v>26</v>
      </c>
      <c r="K547" s="8" t="s">
        <v>26</v>
      </c>
      <c r="L547" s="8" t="s">
        <v>26</v>
      </c>
      <c r="M547" s="8" t="s">
        <v>26</v>
      </c>
      <c r="N547" s="8" t="s">
        <v>26</v>
      </c>
      <c r="O547" s="8" t="s">
        <v>26</v>
      </c>
      <c r="P547" s="8" t="s">
        <v>27</v>
      </c>
    </row>
    <row r="548" spans="1:16" ht="15" customHeight="1" x14ac:dyDescent="0.25">
      <c r="A548" s="8" t="s">
        <v>1914</v>
      </c>
      <c r="B548" s="8" t="s">
        <v>2959</v>
      </c>
      <c r="C548" s="8" t="s">
        <v>2960</v>
      </c>
      <c r="D548" s="29" t="s">
        <v>1917</v>
      </c>
      <c r="E548" s="8" t="s">
        <v>24</v>
      </c>
      <c r="F548" s="8" t="s">
        <v>24</v>
      </c>
      <c r="G548" s="25"/>
      <c r="H548" s="27" t="str">
        <f>HYPERLINK("https://doc.morningstar.com/Document/2cd286d9fac52bd94346d7954dcd9362.msdoc?clientid=fnz&amp;key=9c0e4d166b60ffd3","TMD")</f>
        <v>TMD</v>
      </c>
      <c r="I548" s="8" t="s">
        <v>25</v>
      </c>
      <c r="J548" s="8" t="s">
        <v>26</v>
      </c>
      <c r="K548" s="8" t="s">
        <v>26</v>
      </c>
      <c r="L548" s="8" t="s">
        <v>26</v>
      </c>
      <c r="M548" s="8" t="s">
        <v>26</v>
      </c>
      <c r="N548" s="8" t="s">
        <v>26</v>
      </c>
      <c r="O548" s="8" t="s">
        <v>27</v>
      </c>
      <c r="P548" s="8" t="s">
        <v>27</v>
      </c>
    </row>
    <row r="549" spans="1:16" ht="15" customHeight="1" x14ac:dyDescent="0.25">
      <c r="A549" s="8" t="s">
        <v>1914</v>
      </c>
      <c r="B549" s="8" t="s">
        <v>2961</v>
      </c>
      <c r="C549" s="8" t="s">
        <v>2962</v>
      </c>
      <c r="D549" s="29" t="s">
        <v>1917</v>
      </c>
      <c r="E549" s="8" t="s">
        <v>24</v>
      </c>
      <c r="F549" s="8" t="s">
        <v>24</v>
      </c>
      <c r="G549" s="25"/>
      <c r="H549" s="27" t="str">
        <f>HYPERLINK("https://doc.morningstar.com/Document/96b765275f6c7ba028b32c3f24bb43d3.msdoc?clientid=fnz&amp;key=9c0e4d166b60ffd3","TMD")</f>
        <v>TMD</v>
      </c>
      <c r="I549" s="8" t="s">
        <v>25</v>
      </c>
      <c r="J549" s="8" t="s">
        <v>26</v>
      </c>
      <c r="K549" s="8" t="s">
        <v>26</v>
      </c>
      <c r="L549" s="8" t="s">
        <v>26</v>
      </c>
      <c r="M549" s="8" t="s">
        <v>27</v>
      </c>
      <c r="N549" s="8" t="s">
        <v>27</v>
      </c>
      <c r="O549" s="8" t="s">
        <v>27</v>
      </c>
      <c r="P549" s="8" t="s">
        <v>27</v>
      </c>
    </row>
    <row r="550" spans="1:16" x14ac:dyDescent="0.25">
      <c r="A550" s="8" t="s">
        <v>1914</v>
      </c>
      <c r="B550" s="8" t="s">
        <v>2963</v>
      </c>
      <c r="C550" s="8" t="s">
        <v>2964</v>
      </c>
      <c r="D550" s="29" t="s">
        <v>1917</v>
      </c>
      <c r="E550" s="8" t="s">
        <v>195</v>
      </c>
      <c r="F550" s="8" t="s">
        <v>24</v>
      </c>
      <c r="G550" s="25"/>
      <c r="H550" s="27" t="str">
        <f>HYPERLINK("https://doc.morningstar.com/Document/715211682e2a954e598c020d45229498.msdoc?clientid=fnz&amp;key=9c0e4d166b60ffd3","TMD")</f>
        <v>TMD</v>
      </c>
      <c r="I550" s="8" t="s">
        <v>25</v>
      </c>
      <c r="J550" s="8" t="s">
        <v>26</v>
      </c>
      <c r="K550" s="8" t="s">
        <v>26</v>
      </c>
      <c r="L550" s="8" t="s">
        <v>26</v>
      </c>
      <c r="M550" s="8" t="s">
        <v>26</v>
      </c>
      <c r="N550" s="8" t="s">
        <v>26</v>
      </c>
      <c r="O550" s="8" t="s">
        <v>27</v>
      </c>
      <c r="P550" s="8" t="s">
        <v>27</v>
      </c>
    </row>
    <row r="551" spans="1:16" x14ac:dyDescent="0.25">
      <c r="A551" s="8" t="s">
        <v>1914</v>
      </c>
      <c r="B551" s="8" t="s">
        <v>2965</v>
      </c>
      <c r="C551" s="8" t="s">
        <v>2966</v>
      </c>
      <c r="D551" s="29" t="s">
        <v>1917</v>
      </c>
      <c r="E551" s="8" t="s">
        <v>24</v>
      </c>
      <c r="F551" s="8" t="s">
        <v>24</v>
      </c>
      <c r="G551" s="25">
        <v>30</v>
      </c>
      <c r="H551" s="27" t="str">
        <f>HYPERLINK("https://doc.morningstar.com/Document/67030949570b13e823422becc0c43b10.msdoc?clientid=fnz&amp;key=9c0e4d166b60ffd3","TMD")</f>
        <v>TMD</v>
      </c>
      <c r="I551" s="8" t="s">
        <v>25</v>
      </c>
      <c r="J551" s="8" t="s">
        <v>27</v>
      </c>
      <c r="K551" s="8" t="s">
        <v>27</v>
      </c>
      <c r="L551" s="8" t="s">
        <v>27</v>
      </c>
      <c r="M551" s="8" t="s">
        <v>216</v>
      </c>
      <c r="N551" s="8" t="s">
        <v>216</v>
      </c>
      <c r="O551" s="8" t="s">
        <v>27</v>
      </c>
      <c r="P551" s="8" t="s">
        <v>27</v>
      </c>
    </row>
    <row r="552" spans="1:16" x14ac:dyDescent="0.25">
      <c r="A552" s="8" t="s">
        <v>1874</v>
      </c>
      <c r="B552" s="8" t="s">
        <v>2967</v>
      </c>
      <c r="C552" s="8" t="s">
        <v>2968</v>
      </c>
      <c r="D552" s="29" t="s">
        <v>1877</v>
      </c>
      <c r="E552" s="8" t="s">
        <v>195</v>
      </c>
      <c r="F552" s="8" t="s">
        <v>24</v>
      </c>
      <c r="G552" s="25"/>
      <c r="H552" s="27"/>
      <c r="I552" s="8"/>
      <c r="J552" s="8"/>
      <c r="K552" s="8"/>
      <c r="L552" s="8"/>
      <c r="M552" s="8"/>
      <c r="N552" s="8"/>
      <c r="O552" s="8"/>
      <c r="P552" s="8"/>
    </row>
    <row r="553" spans="1:16" x14ac:dyDescent="0.25">
      <c r="A553" s="8" t="s">
        <v>1874</v>
      </c>
      <c r="B553" s="8" t="s">
        <v>2969</v>
      </c>
      <c r="C553" s="8" t="s">
        <v>2970</v>
      </c>
      <c r="D553" s="29" t="s">
        <v>1877</v>
      </c>
      <c r="E553" s="8" t="s">
        <v>24</v>
      </c>
      <c r="F553" s="8" t="s">
        <v>24</v>
      </c>
      <c r="G553" s="25"/>
      <c r="H553" s="27"/>
      <c r="I553" s="8"/>
      <c r="J553" s="8"/>
      <c r="K553" s="8"/>
      <c r="L553" s="8"/>
      <c r="M553" s="8"/>
      <c r="N553" s="8"/>
      <c r="O553" s="8"/>
      <c r="P553" s="8"/>
    </row>
    <row r="554" spans="1:16" ht="30" x14ac:dyDescent="0.25">
      <c r="A554" s="8" t="s">
        <v>1878</v>
      </c>
      <c r="B554" s="8" t="s">
        <v>2971</v>
      </c>
      <c r="C554" s="8" t="s">
        <v>2972</v>
      </c>
      <c r="D554" s="29" t="s">
        <v>1881</v>
      </c>
      <c r="E554" s="8" t="s">
        <v>24</v>
      </c>
      <c r="F554" s="8" t="s">
        <v>24</v>
      </c>
      <c r="G554" s="25"/>
      <c r="H554" s="27"/>
      <c r="I554" s="8"/>
      <c r="J554" s="8"/>
      <c r="K554" s="8"/>
      <c r="L554" s="8"/>
      <c r="M554" s="8"/>
      <c r="N554" s="8"/>
      <c r="O554" s="8"/>
      <c r="P554" s="8"/>
    </row>
    <row r="555" spans="1:16" ht="30" x14ac:dyDescent="0.25">
      <c r="A555" s="8" t="s">
        <v>1878</v>
      </c>
      <c r="B555" s="8" t="s">
        <v>2973</v>
      </c>
      <c r="C555" s="8" t="s">
        <v>2974</v>
      </c>
      <c r="D555" s="29" t="s">
        <v>1881</v>
      </c>
      <c r="E555" s="8" t="s">
        <v>24</v>
      </c>
      <c r="F555" s="8" t="s">
        <v>24</v>
      </c>
      <c r="G555" s="25"/>
      <c r="H555" s="27"/>
      <c r="I555" s="8"/>
      <c r="J555" s="8"/>
      <c r="K555" s="8"/>
      <c r="L555" s="8"/>
      <c r="M555" s="8"/>
      <c r="N555" s="8"/>
      <c r="O555" s="8"/>
      <c r="P555" s="8"/>
    </row>
    <row r="556" spans="1:16" x14ac:dyDescent="0.25">
      <c r="A556" s="8" t="s">
        <v>1874</v>
      </c>
      <c r="B556" s="8" t="s">
        <v>2975</v>
      </c>
      <c r="C556" s="8" t="s">
        <v>2976</v>
      </c>
      <c r="D556" s="29" t="s">
        <v>1894</v>
      </c>
      <c r="E556" s="8" t="s">
        <v>24</v>
      </c>
      <c r="F556" s="8" t="s">
        <v>24</v>
      </c>
      <c r="G556" s="25"/>
      <c r="H556" s="27"/>
      <c r="I556" s="8"/>
      <c r="J556" s="8"/>
      <c r="K556" s="8"/>
      <c r="L556" s="8"/>
      <c r="M556" s="8"/>
      <c r="N556" s="8"/>
      <c r="O556" s="8"/>
      <c r="P556" s="8"/>
    </row>
    <row r="557" spans="1:16" x14ac:dyDescent="0.25">
      <c r="A557" s="8" t="s">
        <v>1874</v>
      </c>
      <c r="B557" s="8" t="s">
        <v>2977</v>
      </c>
      <c r="C557" s="8" t="s">
        <v>2978</v>
      </c>
      <c r="D557" s="29" t="s">
        <v>1877</v>
      </c>
      <c r="E557" s="8" t="s">
        <v>195</v>
      </c>
      <c r="F557" s="8" t="s">
        <v>24</v>
      </c>
      <c r="G557" s="25"/>
      <c r="H557" s="27"/>
      <c r="I557" s="8"/>
      <c r="J557" s="8"/>
      <c r="K557" s="8"/>
      <c r="L557" s="8"/>
      <c r="M557" s="8"/>
      <c r="N557" s="8"/>
      <c r="O557" s="8"/>
      <c r="P557" s="8"/>
    </row>
    <row r="558" spans="1:16" ht="15" customHeight="1" x14ac:dyDescent="0.25">
      <c r="A558" s="8" t="s">
        <v>1874</v>
      </c>
      <c r="B558" s="8" t="s">
        <v>2979</v>
      </c>
      <c r="C558" s="8" t="s">
        <v>2980</v>
      </c>
      <c r="D558" s="29" t="s">
        <v>1877</v>
      </c>
      <c r="E558" s="8" t="s">
        <v>24</v>
      </c>
      <c r="F558" s="8" t="s">
        <v>24</v>
      </c>
      <c r="G558" s="25"/>
      <c r="H558" s="27"/>
      <c r="I558" s="8"/>
      <c r="J558" s="8"/>
      <c r="K558" s="8"/>
      <c r="L558" s="8"/>
      <c r="M558" s="8"/>
      <c r="N558" s="8"/>
      <c r="O558" s="8"/>
      <c r="P558" s="8"/>
    </row>
    <row r="559" spans="1:16" x14ac:dyDescent="0.25">
      <c r="A559" s="8" t="s">
        <v>1874</v>
      </c>
      <c r="B559" s="8" t="s">
        <v>2981</v>
      </c>
      <c r="C559" s="8" t="s">
        <v>2982</v>
      </c>
      <c r="D559" s="29" t="s">
        <v>1877</v>
      </c>
      <c r="E559" s="8" t="s">
        <v>195</v>
      </c>
      <c r="F559" s="8" t="s">
        <v>24</v>
      </c>
      <c r="G559" s="25"/>
      <c r="H559" s="27"/>
      <c r="I559" s="8"/>
      <c r="J559" s="8"/>
      <c r="K559" s="8"/>
      <c r="L559" s="8"/>
      <c r="M559" s="8"/>
      <c r="N559" s="8"/>
      <c r="O559" s="8"/>
      <c r="P559" s="8"/>
    </row>
    <row r="560" spans="1:16" x14ac:dyDescent="0.25">
      <c r="A560" s="8" t="s">
        <v>1874</v>
      </c>
      <c r="B560" s="8" t="s">
        <v>2983</v>
      </c>
      <c r="C560" s="8" t="s">
        <v>2984</v>
      </c>
      <c r="D560" s="29" t="s">
        <v>1877</v>
      </c>
      <c r="E560" s="8" t="s">
        <v>195</v>
      </c>
      <c r="F560" s="8" t="s">
        <v>24</v>
      </c>
      <c r="G560" s="25"/>
      <c r="H560" s="27"/>
      <c r="I560" s="8"/>
      <c r="J560" s="8"/>
      <c r="K560" s="8"/>
      <c r="L560" s="8"/>
      <c r="M560" s="8"/>
      <c r="N560" s="8"/>
      <c r="O560" s="8"/>
      <c r="P560" s="8"/>
    </row>
    <row r="561" spans="1:16" x14ac:dyDescent="0.25">
      <c r="A561" s="8" t="s">
        <v>1874</v>
      </c>
      <c r="B561" s="8" t="s">
        <v>2985</v>
      </c>
      <c r="C561" s="8" t="s">
        <v>2986</v>
      </c>
      <c r="D561" s="29" t="s">
        <v>1877</v>
      </c>
      <c r="E561" s="8" t="s">
        <v>195</v>
      </c>
      <c r="F561" s="8" t="s">
        <v>24</v>
      </c>
      <c r="G561" s="25"/>
      <c r="H561" s="27"/>
      <c r="I561" s="8"/>
      <c r="J561" s="8"/>
      <c r="K561" s="8"/>
      <c r="L561" s="8"/>
      <c r="M561" s="8"/>
      <c r="N561" s="8"/>
      <c r="O561" s="8"/>
      <c r="P561" s="8"/>
    </row>
    <row r="562" spans="1:16" x14ac:dyDescent="0.25">
      <c r="A562" s="8" t="s">
        <v>1874</v>
      </c>
      <c r="B562" s="8" t="s">
        <v>2987</v>
      </c>
      <c r="C562" s="8" t="s">
        <v>2988</v>
      </c>
      <c r="D562" s="29" t="s">
        <v>1877</v>
      </c>
      <c r="E562" s="8" t="s">
        <v>195</v>
      </c>
      <c r="F562" s="8" t="s">
        <v>24</v>
      </c>
      <c r="G562" s="25"/>
      <c r="H562" s="27"/>
      <c r="I562" s="8"/>
      <c r="J562" s="8"/>
      <c r="K562" s="8"/>
      <c r="L562" s="8"/>
      <c r="M562" s="8"/>
      <c r="N562" s="8"/>
      <c r="O562" s="8"/>
      <c r="P562" s="8"/>
    </row>
    <row r="563" spans="1:16" x14ac:dyDescent="0.25">
      <c r="A563" s="8" t="s">
        <v>1874</v>
      </c>
      <c r="B563" s="8" t="s">
        <v>2989</v>
      </c>
      <c r="C563" s="8" t="s">
        <v>2990</v>
      </c>
      <c r="D563" s="29" t="s">
        <v>1877</v>
      </c>
      <c r="E563" s="8" t="s">
        <v>195</v>
      </c>
      <c r="F563" s="8" t="s">
        <v>24</v>
      </c>
      <c r="G563" s="25"/>
      <c r="H563" s="27"/>
      <c r="I563" s="8"/>
      <c r="J563" s="8"/>
      <c r="K563" s="8"/>
      <c r="L563" s="8"/>
      <c r="M563" s="8"/>
      <c r="N563" s="8"/>
      <c r="O563" s="8"/>
      <c r="P563" s="8"/>
    </row>
    <row r="564" spans="1:16" ht="30" x14ac:dyDescent="0.25">
      <c r="A564" s="8" t="s">
        <v>1878</v>
      </c>
      <c r="B564" s="8" t="s">
        <v>2991</v>
      </c>
      <c r="C564" s="8" t="s">
        <v>2992</v>
      </c>
      <c r="D564" s="29" t="s">
        <v>1881</v>
      </c>
      <c r="E564" s="8" t="s">
        <v>24</v>
      </c>
      <c r="F564" s="8" t="s">
        <v>24</v>
      </c>
      <c r="G564" s="25"/>
      <c r="H564" s="27"/>
      <c r="I564" s="8"/>
      <c r="J564" s="8"/>
      <c r="K564" s="8"/>
      <c r="L564" s="8"/>
      <c r="M564" s="8"/>
      <c r="N564" s="8"/>
      <c r="O564" s="8"/>
      <c r="P564" s="8"/>
    </row>
    <row r="565" spans="1:16" x14ac:dyDescent="0.25">
      <c r="A565" s="8" t="s">
        <v>1874</v>
      </c>
      <c r="B565" s="8" t="s">
        <v>2993</v>
      </c>
      <c r="C565" s="8" t="s">
        <v>2994</v>
      </c>
      <c r="D565" s="29" t="s">
        <v>1877</v>
      </c>
      <c r="E565" s="8" t="s">
        <v>24</v>
      </c>
      <c r="F565" s="8" t="s">
        <v>24</v>
      </c>
      <c r="G565" s="25">
        <v>100</v>
      </c>
      <c r="H565" s="27"/>
      <c r="I565" s="8"/>
      <c r="J565" s="8"/>
      <c r="K565" s="8"/>
      <c r="L565" s="8"/>
      <c r="M565" s="8"/>
      <c r="N565" s="8"/>
      <c r="O565" s="8"/>
      <c r="P565" s="8"/>
    </row>
    <row r="566" spans="1:16" x14ac:dyDescent="0.25">
      <c r="A566" s="8" t="s">
        <v>1874</v>
      </c>
      <c r="B566" s="8" t="s">
        <v>2995</v>
      </c>
      <c r="C566" s="8" t="s">
        <v>2996</v>
      </c>
      <c r="D566" s="29" t="s">
        <v>1877</v>
      </c>
      <c r="E566" s="8" t="s">
        <v>24</v>
      </c>
      <c r="F566" s="8" t="s">
        <v>24</v>
      </c>
      <c r="G566" s="25"/>
      <c r="H566" s="27"/>
      <c r="I566" s="8"/>
      <c r="J566" s="8"/>
      <c r="K566" s="8"/>
      <c r="L566" s="8"/>
      <c r="M566" s="8"/>
      <c r="N566" s="8"/>
      <c r="O566" s="8"/>
      <c r="P566" s="8"/>
    </row>
    <row r="567" spans="1:16" ht="15" customHeight="1" x14ac:dyDescent="0.25">
      <c r="A567" s="8" t="s">
        <v>1874</v>
      </c>
      <c r="B567" s="8" t="s">
        <v>2997</v>
      </c>
      <c r="C567" s="8" t="s">
        <v>2998</v>
      </c>
      <c r="D567" s="29" t="s">
        <v>1877</v>
      </c>
      <c r="E567" s="8" t="s">
        <v>24</v>
      </c>
      <c r="F567" s="8" t="s">
        <v>24</v>
      </c>
      <c r="G567" s="25"/>
      <c r="H567" s="27"/>
      <c r="I567" s="8"/>
      <c r="J567" s="8"/>
      <c r="K567" s="8"/>
      <c r="L567" s="8"/>
      <c r="M567" s="8"/>
      <c r="N567" s="8"/>
      <c r="O567" s="8"/>
      <c r="P567" s="8"/>
    </row>
    <row r="568" spans="1:16" x14ac:dyDescent="0.25">
      <c r="A568" s="8" t="s">
        <v>1874</v>
      </c>
      <c r="B568" s="8" t="s">
        <v>2999</v>
      </c>
      <c r="C568" s="8" t="s">
        <v>3000</v>
      </c>
      <c r="D568" s="29" t="s">
        <v>1877</v>
      </c>
      <c r="E568" s="8" t="s">
        <v>24</v>
      </c>
      <c r="F568" s="8" t="s">
        <v>24</v>
      </c>
      <c r="G568" s="25"/>
      <c r="H568" s="27"/>
      <c r="I568" s="8"/>
      <c r="J568" s="8"/>
      <c r="K568" s="8"/>
      <c r="L568" s="8"/>
      <c r="M568" s="8"/>
      <c r="N568" s="8"/>
      <c r="O568" s="8"/>
      <c r="P568" s="8"/>
    </row>
    <row r="569" spans="1:16" x14ac:dyDescent="0.25">
      <c r="A569" s="8" t="s">
        <v>1874</v>
      </c>
      <c r="B569" s="8" t="s">
        <v>3001</v>
      </c>
      <c r="C569" s="8" t="s">
        <v>3002</v>
      </c>
      <c r="D569" s="29" t="s">
        <v>1877</v>
      </c>
      <c r="E569" s="8" t="s">
        <v>24</v>
      </c>
      <c r="F569" s="8" t="s">
        <v>24</v>
      </c>
      <c r="G569" s="25"/>
      <c r="H569" s="27"/>
      <c r="I569" s="8"/>
      <c r="J569" s="8"/>
      <c r="K569" s="8"/>
      <c r="L569" s="8"/>
      <c r="M569" s="8"/>
      <c r="N569" s="8"/>
      <c r="O569" s="8"/>
      <c r="P569" s="8"/>
    </row>
    <row r="570" spans="1:16" x14ac:dyDescent="0.25">
      <c r="A570" s="8" t="s">
        <v>1874</v>
      </c>
      <c r="B570" s="8" t="s">
        <v>3003</v>
      </c>
      <c r="C570" s="8" t="s">
        <v>3004</v>
      </c>
      <c r="D570" s="29" t="s">
        <v>1877</v>
      </c>
      <c r="E570" s="8" t="s">
        <v>195</v>
      </c>
      <c r="F570" s="8" t="s">
        <v>24</v>
      </c>
      <c r="G570" s="25"/>
      <c r="H570" s="27"/>
      <c r="I570" s="8"/>
      <c r="J570" s="8"/>
      <c r="K570" s="8"/>
      <c r="L570" s="8"/>
      <c r="M570" s="8"/>
      <c r="N570" s="8"/>
      <c r="O570" s="8"/>
      <c r="P570" s="8"/>
    </row>
    <row r="571" spans="1:16" x14ac:dyDescent="0.25">
      <c r="A571" s="8" t="s">
        <v>1874</v>
      </c>
      <c r="B571" s="8" t="s">
        <v>3005</v>
      </c>
      <c r="C571" s="8" t="s">
        <v>3006</v>
      </c>
      <c r="D571" s="29" t="s">
        <v>1877</v>
      </c>
      <c r="E571" s="8" t="s">
        <v>195</v>
      </c>
      <c r="F571" s="8" t="s">
        <v>24</v>
      </c>
      <c r="G571" s="25"/>
      <c r="H571" s="27"/>
      <c r="I571" s="8"/>
      <c r="J571" s="8"/>
      <c r="K571" s="8"/>
      <c r="L571" s="8"/>
      <c r="M571" s="8"/>
      <c r="N571" s="8"/>
      <c r="O571" s="8"/>
      <c r="P571" s="8"/>
    </row>
    <row r="572" spans="1:16" x14ac:dyDescent="0.25">
      <c r="A572" s="8" t="s">
        <v>1874</v>
      </c>
      <c r="B572" s="8" t="s">
        <v>3007</v>
      </c>
      <c r="C572" s="8" t="s">
        <v>3008</v>
      </c>
      <c r="D572" s="29" t="s">
        <v>1877</v>
      </c>
      <c r="E572" s="8" t="s">
        <v>24</v>
      </c>
      <c r="F572" s="8" t="s">
        <v>24</v>
      </c>
      <c r="G572" s="25"/>
      <c r="H572" s="27"/>
      <c r="I572" s="8"/>
      <c r="J572" s="8"/>
      <c r="K572" s="8"/>
      <c r="L572" s="8"/>
      <c r="M572" s="8"/>
      <c r="N572" s="8"/>
      <c r="O572" s="8"/>
      <c r="P572" s="8"/>
    </row>
    <row r="573" spans="1:16" ht="30" x14ac:dyDescent="0.25">
      <c r="A573" s="8" t="s">
        <v>1878</v>
      </c>
      <c r="B573" s="8" t="s">
        <v>3009</v>
      </c>
      <c r="C573" s="8" t="s">
        <v>3010</v>
      </c>
      <c r="D573" s="29" t="s">
        <v>1881</v>
      </c>
      <c r="E573" s="8" t="s">
        <v>24</v>
      </c>
      <c r="F573" s="8" t="s">
        <v>24</v>
      </c>
      <c r="G573" s="25"/>
      <c r="H573" s="27"/>
      <c r="I573" s="8"/>
      <c r="J573" s="8"/>
      <c r="K573" s="8"/>
      <c r="L573" s="8"/>
      <c r="M573" s="8"/>
      <c r="N573" s="8"/>
      <c r="O573" s="8"/>
      <c r="P573" s="8"/>
    </row>
    <row r="574" spans="1:16" x14ac:dyDescent="0.25">
      <c r="A574" s="8" t="s">
        <v>1874</v>
      </c>
      <c r="B574" s="8" t="s">
        <v>3011</v>
      </c>
      <c r="C574" s="8" t="s">
        <v>3012</v>
      </c>
      <c r="D574" s="29" t="s">
        <v>1877</v>
      </c>
      <c r="E574" s="8" t="s">
        <v>195</v>
      </c>
      <c r="F574" s="8" t="s">
        <v>24</v>
      </c>
      <c r="G574" s="25"/>
      <c r="H574" s="27"/>
      <c r="I574" s="8"/>
      <c r="J574" s="8"/>
      <c r="K574" s="8"/>
      <c r="L574" s="8"/>
      <c r="M574" s="8"/>
      <c r="N574" s="8"/>
      <c r="O574" s="8"/>
      <c r="P574" s="8"/>
    </row>
    <row r="575" spans="1:16" x14ac:dyDescent="0.25">
      <c r="A575" s="8" t="s">
        <v>1914</v>
      </c>
      <c r="B575" s="8" t="s">
        <v>3013</v>
      </c>
      <c r="C575" s="8" t="s">
        <v>3014</v>
      </c>
      <c r="D575" s="29" t="s">
        <v>1917</v>
      </c>
      <c r="E575" s="8" t="s">
        <v>195</v>
      </c>
      <c r="F575" s="8" t="s">
        <v>24</v>
      </c>
      <c r="G575" s="25"/>
      <c r="H575" s="27" t="str">
        <f>HYPERLINK("https://doc.morningstar.com/Document/9dab1ad1018a80936dffaef66efba613.msdoc?clientid=fnz&amp;key=9c0e4d166b60ffd3","TMD")</f>
        <v>TMD</v>
      </c>
      <c r="I575" s="8" t="s">
        <v>25</v>
      </c>
      <c r="J575" s="8" t="s">
        <v>25</v>
      </c>
      <c r="K575" s="8" t="s">
        <v>25</v>
      </c>
      <c r="L575" s="8" t="s">
        <v>25</v>
      </c>
      <c r="M575" s="8" t="s">
        <v>25</v>
      </c>
      <c r="N575" s="8" t="s">
        <v>25</v>
      </c>
      <c r="O575" s="8" t="s">
        <v>25</v>
      </c>
      <c r="P575" s="8" t="s">
        <v>25</v>
      </c>
    </row>
    <row r="576" spans="1:16" x14ac:dyDescent="0.25">
      <c r="A576" s="8" t="s">
        <v>1878</v>
      </c>
      <c r="B576" s="8" t="s">
        <v>3015</v>
      </c>
      <c r="C576" s="8" t="s">
        <v>3016</v>
      </c>
      <c r="D576" s="29" t="s">
        <v>1917</v>
      </c>
      <c r="E576" s="8" t="s">
        <v>195</v>
      </c>
      <c r="F576" s="8" t="s">
        <v>24</v>
      </c>
      <c r="G576" s="25"/>
      <c r="H576" s="27" t="str">
        <f>HYPERLINK("https://doc.morningstar.com/Document/731f41aba0a25417d126f1a3e6eb19a4.msdoc?clientid=fnz&amp;key=9c0e4d166b60ffd3","TMD")</f>
        <v>TMD</v>
      </c>
      <c r="I576" s="8" t="s">
        <v>25</v>
      </c>
      <c r="J576" s="8" t="s">
        <v>26</v>
      </c>
      <c r="K576" s="8" t="s">
        <v>27</v>
      </c>
      <c r="L576" s="8" t="s">
        <v>27</v>
      </c>
      <c r="M576" s="8" t="s">
        <v>26</v>
      </c>
      <c r="N576" s="8" t="s">
        <v>216</v>
      </c>
      <c r="O576" s="8" t="s">
        <v>27</v>
      </c>
      <c r="P576" s="8" t="s">
        <v>27</v>
      </c>
    </row>
    <row r="577" spans="1:16" x14ac:dyDescent="0.25">
      <c r="A577" s="8" t="s">
        <v>1914</v>
      </c>
      <c r="B577" s="8" t="s">
        <v>3017</v>
      </c>
      <c r="C577" s="8" t="s">
        <v>3018</v>
      </c>
      <c r="D577" s="29" t="s">
        <v>1917</v>
      </c>
      <c r="E577" s="8" t="s">
        <v>195</v>
      </c>
      <c r="F577" s="8" t="s">
        <v>24</v>
      </c>
      <c r="G577" s="25"/>
      <c r="H577" s="27" t="str">
        <f>HYPERLINK("https://doc.morningstar.com/Document/aa05f78efd795f75d789adc83a80ff2e.msdoc?clientid=fnz&amp;key=9c0e4d166b60ffd3","TMD")</f>
        <v>TMD</v>
      </c>
      <c r="I577" s="8" t="s">
        <v>25</v>
      </c>
      <c r="J577" s="8" t="s">
        <v>26</v>
      </c>
      <c r="K577" s="8" t="s">
        <v>27</v>
      </c>
      <c r="L577" s="8" t="s">
        <v>27</v>
      </c>
      <c r="M577" s="8" t="s">
        <v>26</v>
      </c>
      <c r="N577" s="8" t="s">
        <v>27</v>
      </c>
      <c r="O577" s="8" t="s">
        <v>27</v>
      </c>
      <c r="P577" s="8" t="s">
        <v>26</v>
      </c>
    </row>
    <row r="578" spans="1:16" x14ac:dyDescent="0.25">
      <c r="A578" s="8" t="s">
        <v>1874</v>
      </c>
      <c r="B578" s="8" t="s">
        <v>3019</v>
      </c>
      <c r="C578" s="8" t="s">
        <v>3020</v>
      </c>
      <c r="D578" s="29" t="s">
        <v>1877</v>
      </c>
      <c r="E578" s="8" t="s">
        <v>24</v>
      </c>
      <c r="F578" s="8" t="s">
        <v>24</v>
      </c>
      <c r="G578" s="25"/>
      <c r="H578" s="27"/>
      <c r="I578" s="8"/>
      <c r="J578" s="8"/>
      <c r="K578" s="8"/>
      <c r="L578" s="8"/>
      <c r="M578" s="8"/>
      <c r="N578" s="8"/>
      <c r="O578" s="8"/>
      <c r="P578" s="8"/>
    </row>
    <row r="579" spans="1:16" x14ac:dyDescent="0.25">
      <c r="A579" s="8" t="s">
        <v>1874</v>
      </c>
      <c r="B579" s="8" t="s">
        <v>3021</v>
      </c>
      <c r="C579" s="8" t="s">
        <v>3022</v>
      </c>
      <c r="D579" s="29" t="s">
        <v>1877</v>
      </c>
      <c r="E579" s="8" t="s">
        <v>195</v>
      </c>
      <c r="F579" s="8" t="s">
        <v>24</v>
      </c>
      <c r="G579" s="25"/>
      <c r="H579" s="27"/>
      <c r="I579" s="8"/>
      <c r="J579" s="8"/>
      <c r="K579" s="8"/>
      <c r="L579" s="8"/>
      <c r="M579" s="8"/>
      <c r="N579" s="8"/>
      <c r="O579" s="8"/>
      <c r="P579" s="8"/>
    </row>
    <row r="580" spans="1:16" ht="15" customHeight="1" x14ac:dyDescent="0.25">
      <c r="A580" s="8" t="s">
        <v>1874</v>
      </c>
      <c r="B580" s="8" t="s">
        <v>3023</v>
      </c>
      <c r="C580" s="8" t="s">
        <v>3024</v>
      </c>
      <c r="D580" s="29" t="s">
        <v>1877</v>
      </c>
      <c r="E580" s="8" t="s">
        <v>195</v>
      </c>
      <c r="F580" s="8" t="s">
        <v>24</v>
      </c>
      <c r="G580" s="25"/>
      <c r="H580" s="27"/>
      <c r="I580" s="8"/>
      <c r="J580" s="8"/>
      <c r="K580" s="8"/>
      <c r="L580" s="8"/>
      <c r="M580" s="8"/>
      <c r="N580" s="8"/>
      <c r="O580" s="8"/>
      <c r="P580" s="8"/>
    </row>
    <row r="581" spans="1:16" ht="15" customHeight="1" x14ac:dyDescent="0.25">
      <c r="A581" s="8" t="s">
        <v>1874</v>
      </c>
      <c r="B581" s="8" t="s">
        <v>3025</v>
      </c>
      <c r="C581" s="8" t="s">
        <v>3026</v>
      </c>
      <c r="D581" s="29" t="s">
        <v>1877</v>
      </c>
      <c r="E581" s="8" t="s">
        <v>195</v>
      </c>
      <c r="F581" s="8" t="s">
        <v>24</v>
      </c>
      <c r="G581" s="25"/>
      <c r="H581" s="27"/>
      <c r="I581" s="8"/>
      <c r="J581" s="8"/>
      <c r="K581" s="8"/>
      <c r="L581" s="8"/>
      <c r="M581" s="8"/>
      <c r="N581" s="8"/>
      <c r="O581" s="8"/>
      <c r="P581" s="8"/>
    </row>
    <row r="582" spans="1:16" x14ac:dyDescent="0.25">
      <c r="A582" s="8" t="s">
        <v>1874</v>
      </c>
      <c r="B582" s="8" t="s">
        <v>3027</v>
      </c>
      <c r="C582" s="8" t="s">
        <v>3028</v>
      </c>
      <c r="D582" s="29" t="s">
        <v>1877</v>
      </c>
      <c r="E582" s="8" t="s">
        <v>195</v>
      </c>
      <c r="F582" s="8" t="s">
        <v>24</v>
      </c>
      <c r="G582" s="25"/>
      <c r="H582" s="27"/>
      <c r="I582" s="8"/>
      <c r="J582" s="8"/>
      <c r="K582" s="8"/>
      <c r="L582" s="8"/>
      <c r="M582" s="8"/>
      <c r="N582" s="8"/>
      <c r="O582" s="8"/>
      <c r="P582" s="8"/>
    </row>
    <row r="583" spans="1:16" x14ac:dyDescent="0.25">
      <c r="A583" s="8" t="s">
        <v>1874</v>
      </c>
      <c r="B583" s="8" t="s">
        <v>3029</v>
      </c>
      <c r="C583" s="8" t="s">
        <v>3030</v>
      </c>
      <c r="D583" s="29" t="s">
        <v>1877</v>
      </c>
      <c r="E583" s="8" t="s">
        <v>195</v>
      </c>
      <c r="F583" s="8" t="s">
        <v>24</v>
      </c>
      <c r="G583" s="25"/>
      <c r="H583" s="27"/>
      <c r="I583" s="8"/>
      <c r="J583" s="8"/>
      <c r="K583" s="8"/>
      <c r="L583" s="8"/>
      <c r="M583" s="8"/>
      <c r="N583" s="8"/>
      <c r="O583" s="8"/>
      <c r="P583" s="8"/>
    </row>
    <row r="584" spans="1:16" x14ac:dyDescent="0.25">
      <c r="A584" s="8" t="s">
        <v>1874</v>
      </c>
      <c r="B584" s="8" t="s">
        <v>3031</v>
      </c>
      <c r="C584" s="8" t="s">
        <v>3032</v>
      </c>
      <c r="D584" s="29" t="s">
        <v>1877</v>
      </c>
      <c r="E584" s="8" t="s">
        <v>195</v>
      </c>
      <c r="F584" s="8" t="s">
        <v>24</v>
      </c>
      <c r="G584" s="25"/>
      <c r="H584" s="27"/>
      <c r="I584" s="8"/>
      <c r="J584" s="8"/>
      <c r="K584" s="8"/>
      <c r="L584" s="8"/>
      <c r="M584" s="8"/>
      <c r="N584" s="8"/>
      <c r="O584" s="8"/>
      <c r="P584" s="8"/>
    </row>
    <row r="585" spans="1:16" x14ac:dyDescent="0.25">
      <c r="A585" s="8" t="s">
        <v>1874</v>
      </c>
      <c r="B585" s="8" t="s">
        <v>3033</v>
      </c>
      <c r="C585" s="8" t="s">
        <v>3034</v>
      </c>
      <c r="D585" s="29" t="s">
        <v>1877</v>
      </c>
      <c r="E585" s="8" t="s">
        <v>195</v>
      </c>
      <c r="F585" s="8" t="s">
        <v>24</v>
      </c>
      <c r="G585" s="25"/>
      <c r="H585" s="27"/>
      <c r="I585" s="8"/>
      <c r="J585" s="8"/>
      <c r="K585" s="8"/>
      <c r="L585" s="8"/>
      <c r="M585" s="8"/>
      <c r="N585" s="8"/>
      <c r="O585" s="8"/>
      <c r="P585" s="8"/>
    </row>
    <row r="586" spans="1:16" ht="30" x14ac:dyDescent="0.25">
      <c r="A586" s="8" t="s">
        <v>1878</v>
      </c>
      <c r="B586" s="8" t="s">
        <v>3035</v>
      </c>
      <c r="C586" s="8" t="s">
        <v>3036</v>
      </c>
      <c r="D586" s="29" t="s">
        <v>1881</v>
      </c>
      <c r="E586" s="8" t="s">
        <v>24</v>
      </c>
      <c r="F586" s="8" t="s">
        <v>24</v>
      </c>
      <c r="G586" s="25"/>
      <c r="H586" s="27"/>
      <c r="I586" s="8"/>
      <c r="J586" s="8"/>
      <c r="K586" s="8"/>
      <c r="L586" s="8"/>
      <c r="M586" s="8"/>
      <c r="N586" s="8"/>
      <c r="O586" s="8"/>
      <c r="P586" s="8"/>
    </row>
    <row r="587" spans="1:16" ht="30" x14ac:dyDescent="0.25">
      <c r="A587" s="8" t="s">
        <v>1878</v>
      </c>
      <c r="B587" s="8" t="s">
        <v>3037</v>
      </c>
      <c r="C587" s="8" t="s">
        <v>3038</v>
      </c>
      <c r="D587" s="29" t="s">
        <v>1881</v>
      </c>
      <c r="E587" s="8" t="s">
        <v>24</v>
      </c>
      <c r="F587" s="8" t="s">
        <v>24</v>
      </c>
      <c r="G587" s="25"/>
      <c r="H587" s="27"/>
      <c r="I587" s="8"/>
      <c r="J587" s="8"/>
      <c r="K587" s="8"/>
      <c r="L587" s="8"/>
      <c r="M587" s="8"/>
      <c r="N587" s="8"/>
      <c r="O587" s="8"/>
      <c r="P587" s="8"/>
    </row>
    <row r="588" spans="1:16" x14ac:dyDescent="0.25">
      <c r="A588" s="8" t="s">
        <v>1874</v>
      </c>
      <c r="B588" s="8" t="s">
        <v>3039</v>
      </c>
      <c r="C588" s="8" t="s">
        <v>3040</v>
      </c>
      <c r="D588" s="29" t="s">
        <v>1877</v>
      </c>
      <c r="E588" s="8" t="s">
        <v>195</v>
      </c>
      <c r="F588" s="8" t="s">
        <v>24</v>
      </c>
      <c r="G588" s="25"/>
      <c r="H588" s="27"/>
      <c r="I588" s="8"/>
      <c r="J588" s="8"/>
      <c r="K588" s="8"/>
      <c r="L588" s="8"/>
      <c r="M588" s="8"/>
      <c r="N588" s="8"/>
      <c r="O588" s="8"/>
      <c r="P588" s="8"/>
    </row>
    <row r="589" spans="1:16" x14ac:dyDescent="0.25">
      <c r="A589" s="8" t="s">
        <v>1874</v>
      </c>
      <c r="B589" s="8" t="s">
        <v>3041</v>
      </c>
      <c r="C589" s="8" t="s">
        <v>3042</v>
      </c>
      <c r="D589" s="29" t="s">
        <v>1877</v>
      </c>
      <c r="E589" s="8" t="s">
        <v>195</v>
      </c>
      <c r="F589" s="8" t="s">
        <v>24</v>
      </c>
      <c r="G589" s="25"/>
      <c r="H589" s="27"/>
      <c r="I589" s="8"/>
      <c r="J589" s="8"/>
      <c r="K589" s="8"/>
      <c r="L589" s="8"/>
      <c r="M589" s="8"/>
      <c r="N589" s="8"/>
      <c r="O589" s="8"/>
      <c r="P589" s="8"/>
    </row>
    <row r="590" spans="1:16" x14ac:dyDescent="0.25">
      <c r="A590" s="8" t="s">
        <v>1874</v>
      </c>
      <c r="B590" s="8" t="s">
        <v>3043</v>
      </c>
      <c r="C590" s="8" t="s">
        <v>3044</v>
      </c>
      <c r="D590" s="29" t="s">
        <v>1877</v>
      </c>
      <c r="E590" s="8" t="s">
        <v>195</v>
      </c>
      <c r="F590" s="8" t="s">
        <v>24</v>
      </c>
      <c r="G590" s="25"/>
      <c r="H590" s="27"/>
      <c r="I590" s="8"/>
      <c r="J590" s="8"/>
      <c r="K590" s="8"/>
      <c r="L590" s="8"/>
      <c r="M590" s="8"/>
      <c r="N590" s="8"/>
      <c r="O590" s="8"/>
      <c r="P590" s="8"/>
    </row>
    <row r="591" spans="1:16" x14ac:dyDescent="0.25">
      <c r="A591" s="8" t="s">
        <v>1874</v>
      </c>
      <c r="B591" s="8" t="s">
        <v>3045</v>
      </c>
      <c r="C591" s="8" t="s">
        <v>3046</v>
      </c>
      <c r="D591" s="29" t="s">
        <v>1877</v>
      </c>
      <c r="E591" s="8" t="s">
        <v>24</v>
      </c>
      <c r="F591" s="8" t="s">
        <v>24</v>
      </c>
      <c r="G591" s="25"/>
      <c r="H591" s="27"/>
      <c r="I591" s="8"/>
      <c r="J591" s="8"/>
      <c r="K591" s="8"/>
      <c r="L591" s="8"/>
      <c r="M591" s="8"/>
      <c r="N591" s="8"/>
      <c r="O591" s="8"/>
      <c r="P591" s="8"/>
    </row>
    <row r="592" spans="1:16" x14ac:dyDescent="0.25">
      <c r="A592" s="8" t="s">
        <v>1874</v>
      </c>
      <c r="B592" s="8" t="s">
        <v>3047</v>
      </c>
      <c r="C592" s="8" t="s">
        <v>3048</v>
      </c>
      <c r="D592" s="29" t="s">
        <v>1877</v>
      </c>
      <c r="E592" s="8" t="s">
        <v>195</v>
      </c>
      <c r="F592" s="8" t="s">
        <v>24</v>
      </c>
      <c r="G592" s="25"/>
      <c r="H592" s="27"/>
      <c r="I592" s="8"/>
      <c r="J592" s="8"/>
      <c r="K592" s="8"/>
      <c r="L592" s="8"/>
      <c r="M592" s="8"/>
      <c r="N592" s="8"/>
      <c r="O592" s="8"/>
      <c r="P592" s="8"/>
    </row>
    <row r="593" spans="1:16" x14ac:dyDescent="0.25">
      <c r="A593" s="8" t="s">
        <v>1874</v>
      </c>
      <c r="B593" s="8" t="s">
        <v>3049</v>
      </c>
      <c r="C593" s="8" t="s">
        <v>3050</v>
      </c>
      <c r="D593" s="29" t="s">
        <v>1877</v>
      </c>
      <c r="E593" s="8" t="s">
        <v>195</v>
      </c>
      <c r="F593" s="8" t="s">
        <v>24</v>
      </c>
      <c r="G593" s="25"/>
      <c r="H593" s="27"/>
      <c r="I593" s="8"/>
      <c r="J593" s="8"/>
      <c r="K593" s="8"/>
      <c r="L593" s="8"/>
      <c r="M593" s="8"/>
      <c r="N593" s="8"/>
      <c r="O593" s="8"/>
      <c r="P593" s="8"/>
    </row>
    <row r="594" spans="1:16" x14ac:dyDescent="0.25">
      <c r="A594" s="8" t="s">
        <v>1874</v>
      </c>
      <c r="B594" s="8" t="s">
        <v>3051</v>
      </c>
      <c r="C594" s="8" t="s">
        <v>3052</v>
      </c>
      <c r="D594" s="29" t="s">
        <v>1877</v>
      </c>
      <c r="E594" s="8" t="s">
        <v>195</v>
      </c>
      <c r="F594" s="8" t="s">
        <v>24</v>
      </c>
      <c r="G594" s="25"/>
      <c r="H594" s="27"/>
      <c r="I594" s="8"/>
      <c r="J594" s="8"/>
      <c r="K594" s="8"/>
      <c r="L594" s="8"/>
      <c r="M594" s="8"/>
      <c r="N594" s="8"/>
      <c r="O594" s="8"/>
      <c r="P594" s="8"/>
    </row>
    <row r="595" spans="1:16" x14ac:dyDescent="0.25">
      <c r="A595" s="8" t="s">
        <v>1914</v>
      </c>
      <c r="B595" s="8" t="s">
        <v>3053</v>
      </c>
      <c r="C595" s="8" t="s">
        <v>3054</v>
      </c>
      <c r="D595" s="29" t="s">
        <v>1917</v>
      </c>
      <c r="E595" s="8" t="s">
        <v>24</v>
      </c>
      <c r="F595" s="8" t="s">
        <v>24</v>
      </c>
      <c r="G595" s="25">
        <v>100</v>
      </c>
      <c r="H595" s="27" t="str">
        <f>HYPERLINK("https://doc.morningstar.com/Document/718b009565c109dca7edcdd0b9414bf3.msdoc?clientid=fnz&amp;key=9c0e4d166b60ffd3","TMD")</f>
        <v>TMD</v>
      </c>
      <c r="I595" s="8" t="s">
        <v>25</v>
      </c>
      <c r="J595" s="8" t="s">
        <v>25</v>
      </c>
      <c r="K595" s="8" t="s">
        <v>25</v>
      </c>
      <c r="L595" s="8" t="s">
        <v>25</v>
      </c>
      <c r="M595" s="8" t="s">
        <v>26</v>
      </c>
      <c r="N595" s="8" t="s">
        <v>26</v>
      </c>
      <c r="O595" s="8" t="s">
        <v>26</v>
      </c>
      <c r="P595" s="8" t="s">
        <v>27</v>
      </c>
    </row>
    <row r="596" spans="1:16" x14ac:dyDescent="0.25">
      <c r="A596" s="8" t="s">
        <v>1874</v>
      </c>
      <c r="B596" s="8" t="s">
        <v>3055</v>
      </c>
      <c r="C596" s="8" t="s">
        <v>3056</v>
      </c>
      <c r="D596" s="29" t="s">
        <v>1913</v>
      </c>
      <c r="E596" s="8" t="s">
        <v>195</v>
      </c>
      <c r="F596" s="8" t="s">
        <v>24</v>
      </c>
      <c r="G596" s="25"/>
      <c r="H596" s="27"/>
      <c r="I596" s="8"/>
      <c r="J596" s="8"/>
      <c r="K596" s="8"/>
      <c r="L596" s="8"/>
      <c r="M596" s="8"/>
      <c r="N596" s="8"/>
      <c r="O596" s="8"/>
      <c r="P596" s="8"/>
    </row>
    <row r="597" spans="1:16" x14ac:dyDescent="0.25">
      <c r="A597" s="8" t="s">
        <v>1874</v>
      </c>
      <c r="B597" s="8" t="s">
        <v>3057</v>
      </c>
      <c r="C597" s="8" t="s">
        <v>3058</v>
      </c>
      <c r="D597" s="29" t="s">
        <v>1877</v>
      </c>
      <c r="E597" s="8" t="s">
        <v>195</v>
      </c>
      <c r="F597" s="8" t="s">
        <v>24</v>
      </c>
      <c r="G597" s="25"/>
      <c r="H597" s="27"/>
      <c r="I597" s="8"/>
      <c r="J597" s="8"/>
      <c r="K597" s="8"/>
      <c r="L597" s="8"/>
      <c r="M597" s="8"/>
      <c r="N597" s="8"/>
      <c r="O597" s="8"/>
      <c r="P597" s="8"/>
    </row>
    <row r="598" spans="1:16" x14ac:dyDescent="0.25">
      <c r="A598" s="8" t="s">
        <v>1874</v>
      </c>
      <c r="B598" s="8" t="s">
        <v>3059</v>
      </c>
      <c r="C598" s="8" t="s">
        <v>3060</v>
      </c>
      <c r="D598" s="29" t="s">
        <v>1877</v>
      </c>
      <c r="E598" s="8" t="s">
        <v>24</v>
      </c>
      <c r="F598" s="8" t="s">
        <v>24</v>
      </c>
      <c r="G598" s="25"/>
      <c r="H598" s="27"/>
      <c r="I598" s="8"/>
      <c r="J598" s="8"/>
      <c r="K598" s="8"/>
      <c r="L598" s="8"/>
      <c r="M598" s="8"/>
      <c r="N598" s="8"/>
      <c r="O598" s="8"/>
      <c r="P598" s="8"/>
    </row>
    <row r="599" spans="1:16" x14ac:dyDescent="0.25">
      <c r="A599" s="8" t="s">
        <v>1874</v>
      </c>
      <c r="B599" s="8" t="s">
        <v>3061</v>
      </c>
      <c r="C599" s="8" t="s">
        <v>3062</v>
      </c>
      <c r="D599" s="29" t="s">
        <v>1877</v>
      </c>
      <c r="E599" s="8" t="s">
        <v>195</v>
      </c>
      <c r="F599" s="8" t="s">
        <v>24</v>
      </c>
      <c r="G599" s="25"/>
      <c r="H599" s="27"/>
      <c r="I599" s="8"/>
      <c r="J599" s="8"/>
      <c r="K599" s="8"/>
      <c r="L599" s="8"/>
      <c r="M599" s="8"/>
      <c r="N599" s="8"/>
      <c r="O599" s="8"/>
      <c r="P599" s="8"/>
    </row>
    <row r="600" spans="1:16" x14ac:dyDescent="0.25">
      <c r="A600" s="8" t="s">
        <v>1874</v>
      </c>
      <c r="B600" s="8" t="s">
        <v>3063</v>
      </c>
      <c r="C600" s="8" t="s">
        <v>3064</v>
      </c>
      <c r="D600" s="29" t="s">
        <v>1877</v>
      </c>
      <c r="E600" s="8" t="s">
        <v>24</v>
      </c>
      <c r="F600" s="8" t="s">
        <v>24</v>
      </c>
      <c r="G600" s="25"/>
      <c r="H600" s="27"/>
      <c r="I600" s="8"/>
      <c r="J600" s="8"/>
      <c r="K600" s="8"/>
      <c r="L600" s="8"/>
      <c r="M600" s="8"/>
      <c r="N600" s="8"/>
      <c r="O600" s="8"/>
      <c r="P600" s="8"/>
    </row>
    <row r="601" spans="1:16" x14ac:dyDescent="0.25">
      <c r="A601" s="8" t="s">
        <v>1874</v>
      </c>
      <c r="B601" s="8" t="s">
        <v>3065</v>
      </c>
      <c r="C601" s="8" t="s">
        <v>3066</v>
      </c>
      <c r="D601" s="29" t="s">
        <v>1877</v>
      </c>
      <c r="E601" s="8" t="s">
        <v>24</v>
      </c>
      <c r="F601" s="8" t="s">
        <v>24</v>
      </c>
      <c r="G601" s="25"/>
      <c r="H601" s="27"/>
      <c r="I601" s="8"/>
      <c r="J601" s="8"/>
      <c r="K601" s="8"/>
      <c r="L601" s="8"/>
      <c r="M601" s="8"/>
      <c r="N601" s="8"/>
      <c r="O601" s="8"/>
      <c r="P601" s="8"/>
    </row>
    <row r="602" spans="1:16" x14ac:dyDescent="0.25">
      <c r="A602" s="8" t="s">
        <v>1874</v>
      </c>
      <c r="B602" s="8" t="s">
        <v>3067</v>
      </c>
      <c r="C602" s="8" t="s">
        <v>3068</v>
      </c>
      <c r="D602" s="29" t="s">
        <v>1877</v>
      </c>
      <c r="E602" s="8" t="s">
        <v>24</v>
      </c>
      <c r="F602" s="8" t="s">
        <v>24</v>
      </c>
      <c r="G602" s="25"/>
      <c r="H602" s="27"/>
      <c r="I602" s="8"/>
      <c r="J602" s="8"/>
      <c r="K602" s="8"/>
      <c r="L602" s="8"/>
      <c r="M602" s="8"/>
      <c r="N602" s="8"/>
      <c r="O602" s="8"/>
      <c r="P602" s="8"/>
    </row>
    <row r="603" spans="1:16" x14ac:dyDescent="0.25">
      <c r="A603" s="8" t="s">
        <v>1874</v>
      </c>
      <c r="B603" s="8" t="s">
        <v>3069</v>
      </c>
      <c r="C603" s="8" t="s">
        <v>3070</v>
      </c>
      <c r="D603" s="29" t="s">
        <v>1877</v>
      </c>
      <c r="E603" s="8" t="s">
        <v>195</v>
      </c>
      <c r="F603" s="8" t="s">
        <v>24</v>
      </c>
      <c r="G603" s="25"/>
      <c r="H603" s="27"/>
      <c r="I603" s="8"/>
      <c r="J603" s="8"/>
      <c r="K603" s="8"/>
      <c r="L603" s="8"/>
      <c r="M603" s="8"/>
      <c r="N603" s="8"/>
      <c r="O603" s="8"/>
      <c r="P603" s="8"/>
    </row>
    <row r="604" spans="1:16" x14ac:dyDescent="0.25">
      <c r="A604" s="8" t="s">
        <v>1874</v>
      </c>
      <c r="B604" s="8" t="s">
        <v>3071</v>
      </c>
      <c r="C604" s="8" t="s">
        <v>3072</v>
      </c>
      <c r="D604" s="29" t="s">
        <v>1877</v>
      </c>
      <c r="E604" s="8" t="s">
        <v>24</v>
      </c>
      <c r="F604" s="8" t="s">
        <v>24</v>
      </c>
      <c r="G604" s="25"/>
      <c r="H604" s="27"/>
      <c r="I604" s="8"/>
      <c r="J604" s="8"/>
      <c r="K604" s="8"/>
      <c r="L604" s="8"/>
      <c r="M604" s="8"/>
      <c r="N604" s="8"/>
      <c r="O604" s="8"/>
      <c r="P604" s="8"/>
    </row>
    <row r="605" spans="1:16" x14ac:dyDescent="0.25">
      <c r="A605" s="8" t="s">
        <v>1874</v>
      </c>
      <c r="B605" s="8" t="s">
        <v>3073</v>
      </c>
      <c r="C605" s="8" t="s">
        <v>3074</v>
      </c>
      <c r="D605" s="29" t="s">
        <v>1877</v>
      </c>
      <c r="E605" s="8" t="s">
        <v>195</v>
      </c>
      <c r="F605" s="8" t="s">
        <v>24</v>
      </c>
      <c r="G605" s="25"/>
      <c r="H605" s="27"/>
      <c r="I605" s="8"/>
      <c r="J605" s="8"/>
      <c r="K605" s="8"/>
      <c r="L605" s="8"/>
      <c r="M605" s="8"/>
      <c r="N605" s="8"/>
      <c r="O605" s="8"/>
      <c r="P605" s="8"/>
    </row>
    <row r="606" spans="1:16" x14ac:dyDescent="0.25">
      <c r="A606" s="8" t="s">
        <v>1874</v>
      </c>
      <c r="B606" s="8" t="s">
        <v>3075</v>
      </c>
      <c r="C606" s="8" t="s">
        <v>3076</v>
      </c>
      <c r="D606" s="29" t="s">
        <v>1877</v>
      </c>
      <c r="E606" s="8" t="s">
        <v>195</v>
      </c>
      <c r="F606" s="8" t="s">
        <v>24</v>
      </c>
      <c r="G606" s="25"/>
      <c r="H606" s="27"/>
      <c r="I606" s="8"/>
      <c r="J606" s="8"/>
      <c r="K606" s="8"/>
      <c r="L606" s="8"/>
      <c r="M606" s="8"/>
      <c r="N606" s="8"/>
      <c r="O606" s="8"/>
      <c r="P606" s="8"/>
    </row>
    <row r="607" spans="1:16" x14ac:dyDescent="0.25">
      <c r="A607" s="8" t="s">
        <v>1874</v>
      </c>
      <c r="B607" s="8" t="s">
        <v>3077</v>
      </c>
      <c r="C607" s="8" t="s">
        <v>3078</v>
      </c>
      <c r="D607" s="29" t="s">
        <v>1894</v>
      </c>
      <c r="E607" s="8" t="s">
        <v>195</v>
      </c>
      <c r="F607" s="8" t="s">
        <v>24</v>
      </c>
      <c r="G607" s="25"/>
      <c r="H607" s="27"/>
      <c r="I607" s="8"/>
      <c r="J607" s="8"/>
      <c r="K607" s="8"/>
      <c r="L607" s="8"/>
      <c r="M607" s="8"/>
      <c r="N607" s="8"/>
      <c r="O607" s="8"/>
      <c r="P607" s="8"/>
    </row>
    <row r="608" spans="1:16" x14ac:dyDescent="0.25">
      <c r="A608" s="8" t="s">
        <v>1874</v>
      </c>
      <c r="B608" s="8" t="s">
        <v>3079</v>
      </c>
      <c r="C608" s="8" t="s">
        <v>3080</v>
      </c>
      <c r="D608" s="29" t="s">
        <v>1877</v>
      </c>
      <c r="E608" s="8" t="s">
        <v>195</v>
      </c>
      <c r="F608" s="8" t="s">
        <v>24</v>
      </c>
      <c r="G608" s="25"/>
      <c r="H608" s="27"/>
      <c r="I608" s="8"/>
      <c r="J608" s="8"/>
      <c r="K608" s="8"/>
      <c r="L608" s="8"/>
      <c r="M608" s="8"/>
      <c r="N608" s="8"/>
      <c r="O608" s="8"/>
      <c r="P608" s="8"/>
    </row>
    <row r="609" spans="1:16" x14ac:dyDescent="0.25">
      <c r="A609" s="8" t="s">
        <v>1874</v>
      </c>
      <c r="B609" s="8" t="s">
        <v>3081</v>
      </c>
      <c r="C609" s="8" t="s">
        <v>3082</v>
      </c>
      <c r="D609" s="29" t="s">
        <v>1877</v>
      </c>
      <c r="E609" s="8" t="s">
        <v>195</v>
      </c>
      <c r="F609" s="8" t="s">
        <v>24</v>
      </c>
      <c r="G609" s="25"/>
      <c r="H609" s="27"/>
      <c r="I609" s="8"/>
      <c r="J609" s="8"/>
      <c r="K609" s="8"/>
      <c r="L609" s="8"/>
      <c r="M609" s="8"/>
      <c r="N609" s="8"/>
      <c r="O609" s="8"/>
      <c r="P609" s="8"/>
    </row>
    <row r="610" spans="1:16" x14ac:dyDescent="0.25">
      <c r="A610" s="8" t="s">
        <v>1874</v>
      </c>
      <c r="B610" s="8" t="s">
        <v>3083</v>
      </c>
      <c r="C610" s="8" t="s">
        <v>3084</v>
      </c>
      <c r="D610" s="29" t="s">
        <v>1877</v>
      </c>
      <c r="E610" s="8" t="s">
        <v>24</v>
      </c>
      <c r="F610" s="8" t="s">
        <v>24</v>
      </c>
      <c r="G610" s="25"/>
      <c r="H610" s="27"/>
      <c r="I610" s="8"/>
      <c r="J610" s="8"/>
      <c r="K610" s="8"/>
      <c r="L610" s="8"/>
      <c r="M610" s="8"/>
      <c r="N610" s="8"/>
      <c r="O610" s="8"/>
      <c r="P610" s="8"/>
    </row>
    <row r="611" spans="1:16" x14ac:dyDescent="0.25">
      <c r="A611" s="8" t="s">
        <v>1874</v>
      </c>
      <c r="B611" s="8" t="s">
        <v>3085</v>
      </c>
      <c r="C611" s="8" t="s">
        <v>3086</v>
      </c>
      <c r="D611" s="29" t="s">
        <v>1877</v>
      </c>
      <c r="E611" s="8" t="s">
        <v>195</v>
      </c>
      <c r="F611" s="8" t="s">
        <v>24</v>
      </c>
      <c r="G611" s="25"/>
      <c r="H611" s="27"/>
      <c r="I611" s="8"/>
      <c r="J611" s="8"/>
      <c r="K611" s="8"/>
      <c r="L611" s="8"/>
      <c r="M611" s="8"/>
      <c r="N611" s="8"/>
      <c r="O611" s="8"/>
      <c r="P611" s="8"/>
    </row>
    <row r="612" spans="1:16" ht="15" customHeight="1" x14ac:dyDescent="0.25">
      <c r="A612" s="8" t="s">
        <v>1874</v>
      </c>
      <c r="B612" s="8" t="s">
        <v>3087</v>
      </c>
      <c r="C612" s="8" t="s">
        <v>3088</v>
      </c>
      <c r="D612" s="29" t="s">
        <v>1877</v>
      </c>
      <c r="E612" s="8" t="s">
        <v>195</v>
      </c>
      <c r="F612" s="8" t="s">
        <v>24</v>
      </c>
      <c r="G612" s="25"/>
      <c r="H612" s="27"/>
      <c r="I612" s="8"/>
      <c r="J612" s="8"/>
      <c r="K612" s="8"/>
      <c r="L612" s="8"/>
      <c r="M612" s="8"/>
      <c r="N612" s="8"/>
      <c r="O612" s="8"/>
      <c r="P612" s="8"/>
    </row>
    <row r="613" spans="1:16" x14ac:dyDescent="0.25">
      <c r="A613" s="8" t="s">
        <v>1874</v>
      </c>
      <c r="B613" s="8" t="s">
        <v>3089</v>
      </c>
      <c r="C613" s="8" t="s">
        <v>3090</v>
      </c>
      <c r="D613" s="29" t="s">
        <v>1877</v>
      </c>
      <c r="E613" s="8" t="s">
        <v>24</v>
      </c>
      <c r="F613" s="8" t="s">
        <v>24</v>
      </c>
      <c r="G613" s="25"/>
      <c r="H613" s="27"/>
      <c r="I613" s="8"/>
      <c r="J613" s="8"/>
      <c r="K613" s="8"/>
      <c r="L613" s="8"/>
      <c r="M613" s="8"/>
      <c r="N613" s="8"/>
      <c r="O613" s="8"/>
      <c r="P613" s="8"/>
    </row>
    <row r="614" spans="1:16" ht="30" x14ac:dyDescent="0.25">
      <c r="A614" s="8" t="s">
        <v>1878</v>
      </c>
      <c r="B614" s="8" t="s">
        <v>3091</v>
      </c>
      <c r="C614" s="8" t="s">
        <v>3092</v>
      </c>
      <c r="D614" s="29" t="s">
        <v>1881</v>
      </c>
      <c r="E614" s="8" t="s">
        <v>24</v>
      </c>
      <c r="F614" s="8" t="s">
        <v>24</v>
      </c>
      <c r="G614" s="25"/>
      <c r="H614" s="27"/>
      <c r="I614" s="8"/>
      <c r="J614" s="8"/>
      <c r="K614" s="8"/>
      <c r="L614" s="8"/>
      <c r="M614" s="8"/>
      <c r="N614" s="8"/>
      <c r="O614" s="8"/>
      <c r="P614" s="8"/>
    </row>
    <row r="615" spans="1:16" x14ac:dyDescent="0.25">
      <c r="A615" s="8" t="s">
        <v>1874</v>
      </c>
      <c r="B615" s="8" t="s">
        <v>3093</v>
      </c>
      <c r="C615" s="8" t="s">
        <v>3094</v>
      </c>
      <c r="D615" s="29" t="s">
        <v>1877</v>
      </c>
      <c r="E615" s="8" t="s">
        <v>24</v>
      </c>
      <c r="F615" s="8" t="s">
        <v>24</v>
      </c>
      <c r="G615" s="25"/>
      <c r="H615" s="27"/>
      <c r="I615" s="8"/>
      <c r="J615" s="8"/>
      <c r="K615" s="8"/>
      <c r="L615" s="8"/>
      <c r="M615" s="8"/>
      <c r="N615" s="8"/>
      <c r="O615" s="8"/>
      <c r="P615" s="8"/>
    </row>
    <row r="616" spans="1:16" x14ac:dyDescent="0.25">
      <c r="A616" s="8" t="s">
        <v>1874</v>
      </c>
      <c r="B616" s="8" t="s">
        <v>3095</v>
      </c>
      <c r="C616" s="8" t="s">
        <v>3096</v>
      </c>
      <c r="D616" s="29" t="s">
        <v>1877</v>
      </c>
      <c r="E616" s="8" t="s">
        <v>24</v>
      </c>
      <c r="F616" s="8" t="s">
        <v>24</v>
      </c>
      <c r="G616" s="25"/>
      <c r="H616" s="27"/>
      <c r="I616" s="8"/>
      <c r="J616" s="8"/>
      <c r="K616" s="8"/>
      <c r="L616" s="8"/>
      <c r="M616" s="8"/>
      <c r="N616" s="8"/>
      <c r="O616" s="8"/>
      <c r="P616" s="8"/>
    </row>
    <row r="617" spans="1:16" x14ac:dyDescent="0.25">
      <c r="A617" s="8" t="s">
        <v>1988</v>
      </c>
      <c r="B617" s="8" t="s">
        <v>3097</v>
      </c>
      <c r="C617" s="8" t="s">
        <v>3098</v>
      </c>
      <c r="D617" s="29" t="s">
        <v>1991</v>
      </c>
      <c r="E617" s="8" t="s">
        <v>24</v>
      </c>
      <c r="F617" s="8" t="s">
        <v>24</v>
      </c>
      <c r="G617" s="25"/>
      <c r="H617" s="27"/>
      <c r="I617" s="8"/>
      <c r="J617" s="8"/>
      <c r="K617" s="8"/>
      <c r="L617" s="8"/>
      <c r="M617" s="8"/>
      <c r="N617" s="8"/>
      <c r="O617" s="8"/>
      <c r="P617" s="8"/>
    </row>
    <row r="618" spans="1:16" x14ac:dyDescent="0.25">
      <c r="A618" s="8" t="s">
        <v>1988</v>
      </c>
      <c r="B618" s="8" t="s">
        <v>3099</v>
      </c>
      <c r="C618" s="8" t="s">
        <v>3100</v>
      </c>
      <c r="D618" s="29" t="s">
        <v>1991</v>
      </c>
      <c r="E618" s="8" t="s">
        <v>24</v>
      </c>
      <c r="F618" s="8" t="s">
        <v>24</v>
      </c>
      <c r="G618" s="25"/>
      <c r="H618" s="27"/>
      <c r="I618" s="8"/>
      <c r="J618" s="8"/>
      <c r="K618" s="8"/>
      <c r="L618" s="8"/>
      <c r="M618" s="8"/>
      <c r="N618" s="8"/>
      <c r="O618" s="8"/>
      <c r="P618" s="8"/>
    </row>
    <row r="619" spans="1:16" x14ac:dyDescent="0.25">
      <c r="A619" s="8" t="s">
        <v>1874</v>
      </c>
      <c r="B619" s="8" t="s">
        <v>3101</v>
      </c>
      <c r="C619" s="8" t="s">
        <v>3102</v>
      </c>
      <c r="D619" s="29" t="s">
        <v>1877</v>
      </c>
      <c r="E619" s="8" t="s">
        <v>24</v>
      </c>
      <c r="F619" s="8" t="s">
        <v>24</v>
      </c>
      <c r="G619" s="25"/>
      <c r="H619" s="27"/>
      <c r="I619" s="8"/>
      <c r="J619" s="8"/>
      <c r="K619" s="8"/>
      <c r="L619" s="8"/>
      <c r="M619" s="8"/>
      <c r="N619" s="8"/>
      <c r="O619" s="8"/>
      <c r="P619" s="8"/>
    </row>
    <row r="620" spans="1:16" x14ac:dyDescent="0.25">
      <c r="A620" s="8" t="s">
        <v>1874</v>
      </c>
      <c r="B620" s="8" t="s">
        <v>3103</v>
      </c>
      <c r="C620" s="8" t="s">
        <v>3104</v>
      </c>
      <c r="D620" s="29" t="s">
        <v>1877</v>
      </c>
      <c r="E620" s="8" t="s">
        <v>24</v>
      </c>
      <c r="F620" s="8" t="s">
        <v>24</v>
      </c>
      <c r="G620" s="25"/>
      <c r="H620" s="27"/>
      <c r="I620" s="8"/>
      <c r="J620" s="8"/>
      <c r="K620" s="8"/>
      <c r="L620" s="8"/>
      <c r="M620" s="8"/>
      <c r="N620" s="8"/>
      <c r="O620" s="8"/>
      <c r="P620" s="8"/>
    </row>
    <row r="621" spans="1:16" x14ac:dyDescent="0.25">
      <c r="A621" s="8" t="s">
        <v>1874</v>
      </c>
      <c r="B621" s="8" t="s">
        <v>3105</v>
      </c>
      <c r="C621" s="8" t="s">
        <v>3106</v>
      </c>
      <c r="D621" s="29" t="s">
        <v>1877</v>
      </c>
      <c r="E621" s="8" t="s">
        <v>195</v>
      </c>
      <c r="F621" s="8" t="s">
        <v>24</v>
      </c>
      <c r="G621" s="25">
        <v>5</v>
      </c>
      <c r="H621" s="27"/>
      <c r="I621" s="8"/>
      <c r="J621" s="8"/>
      <c r="K621" s="8"/>
      <c r="L621" s="8"/>
      <c r="M621" s="8"/>
      <c r="N621" s="8"/>
      <c r="O621" s="8"/>
      <c r="P621" s="8"/>
    </row>
    <row r="622" spans="1:16" x14ac:dyDescent="0.25">
      <c r="A622" s="8" t="s">
        <v>1914</v>
      </c>
      <c r="B622" s="8" t="s">
        <v>3107</v>
      </c>
      <c r="C622" s="8" t="s">
        <v>3108</v>
      </c>
      <c r="D622" s="29" t="s">
        <v>1917</v>
      </c>
      <c r="E622" s="8" t="s">
        <v>195</v>
      </c>
      <c r="F622" s="8" t="s">
        <v>24</v>
      </c>
      <c r="G622" s="25"/>
      <c r="H622" s="27" t="str">
        <f>HYPERLINK("https://doc.morningstar.com/Document/c2d55a0ce394b3d505acbfb896e37f40.msdoc?clientid=fnz&amp;key=9c0e4d166b60ffd3","TMD")</f>
        <v>TMD</v>
      </c>
      <c r="I622" s="8" t="s">
        <v>25</v>
      </c>
      <c r="J622" s="8" t="s">
        <v>25</v>
      </c>
      <c r="K622" s="8" t="s">
        <v>25</v>
      </c>
      <c r="L622" s="8" t="s">
        <v>25</v>
      </c>
      <c r="M622" s="8" t="s">
        <v>26</v>
      </c>
      <c r="N622" s="8" t="s">
        <v>216</v>
      </c>
      <c r="O622" s="8" t="s">
        <v>27</v>
      </c>
      <c r="P622" s="8" t="s">
        <v>27</v>
      </c>
    </row>
    <row r="623" spans="1:16" x14ac:dyDescent="0.25">
      <c r="A623" s="8" t="s">
        <v>1874</v>
      </c>
      <c r="B623" s="8" t="s">
        <v>3109</v>
      </c>
      <c r="C623" s="8" t="s">
        <v>3110</v>
      </c>
      <c r="D623" s="29" t="s">
        <v>1877</v>
      </c>
      <c r="E623" s="8" t="s">
        <v>195</v>
      </c>
      <c r="F623" s="8" t="s">
        <v>24</v>
      </c>
      <c r="G623" s="25"/>
      <c r="H623" s="27"/>
      <c r="I623" s="8"/>
      <c r="J623" s="8"/>
      <c r="K623" s="8"/>
      <c r="L623" s="8"/>
      <c r="M623" s="8"/>
      <c r="N623" s="8"/>
      <c r="O623" s="8"/>
      <c r="P623" s="8"/>
    </row>
    <row r="624" spans="1:16" x14ac:dyDescent="0.25">
      <c r="A624" s="8" t="s">
        <v>1874</v>
      </c>
      <c r="B624" s="8" t="s">
        <v>3111</v>
      </c>
      <c r="C624" s="8" t="s">
        <v>3112</v>
      </c>
      <c r="D624" s="29" t="s">
        <v>1877</v>
      </c>
      <c r="E624" s="8" t="s">
        <v>195</v>
      </c>
      <c r="F624" s="8" t="s">
        <v>24</v>
      </c>
      <c r="G624" s="25"/>
      <c r="H624" s="27"/>
      <c r="I624" s="8"/>
      <c r="J624" s="8"/>
      <c r="K624" s="8"/>
      <c r="L624" s="8"/>
      <c r="M624" s="8"/>
      <c r="N624" s="8"/>
      <c r="O624" s="8"/>
      <c r="P624" s="8"/>
    </row>
    <row r="625" spans="1:16" x14ac:dyDescent="0.25">
      <c r="A625" s="8" t="s">
        <v>1874</v>
      </c>
      <c r="B625" s="8" t="s">
        <v>3113</v>
      </c>
      <c r="C625" s="8" t="s">
        <v>3114</v>
      </c>
      <c r="D625" s="29" t="s">
        <v>1877</v>
      </c>
      <c r="E625" s="8" t="s">
        <v>195</v>
      </c>
      <c r="F625" s="8" t="s">
        <v>24</v>
      </c>
      <c r="G625" s="25"/>
      <c r="H625" s="27"/>
      <c r="I625" s="8"/>
      <c r="J625" s="8"/>
      <c r="K625" s="8"/>
      <c r="L625" s="8"/>
      <c r="M625" s="8"/>
      <c r="N625" s="8"/>
      <c r="O625" s="8"/>
      <c r="P625" s="8"/>
    </row>
    <row r="626" spans="1:16" x14ac:dyDescent="0.25">
      <c r="A626" s="8" t="s">
        <v>1874</v>
      </c>
      <c r="B626" s="8" t="s">
        <v>3115</v>
      </c>
      <c r="C626" s="8" t="s">
        <v>3116</v>
      </c>
      <c r="D626" s="29" t="s">
        <v>1877</v>
      </c>
      <c r="E626" s="8" t="s">
        <v>24</v>
      </c>
      <c r="F626" s="8" t="s">
        <v>24</v>
      </c>
      <c r="G626" s="25"/>
      <c r="H626" s="27"/>
      <c r="I626" s="8"/>
      <c r="J626" s="8"/>
      <c r="K626" s="8"/>
      <c r="L626" s="8"/>
      <c r="M626" s="8"/>
      <c r="N626" s="8"/>
      <c r="O626" s="8"/>
      <c r="P626" s="8"/>
    </row>
    <row r="627" spans="1:16" x14ac:dyDescent="0.25">
      <c r="A627" s="8" t="s">
        <v>1874</v>
      </c>
      <c r="B627" s="8" t="s">
        <v>3117</v>
      </c>
      <c r="C627" s="8" t="s">
        <v>3118</v>
      </c>
      <c r="D627" s="29" t="s">
        <v>1877</v>
      </c>
      <c r="E627" s="8" t="s">
        <v>195</v>
      </c>
      <c r="F627" s="8" t="s">
        <v>24</v>
      </c>
      <c r="G627" s="25"/>
      <c r="H627" s="27"/>
      <c r="I627" s="8"/>
      <c r="J627" s="8"/>
      <c r="K627" s="8"/>
      <c r="L627" s="8"/>
      <c r="M627" s="8"/>
      <c r="N627" s="8"/>
      <c r="O627" s="8"/>
      <c r="P627" s="8"/>
    </row>
    <row r="628" spans="1:16" x14ac:dyDescent="0.25">
      <c r="A628" s="8" t="s">
        <v>1874</v>
      </c>
      <c r="B628" s="8" t="s">
        <v>3119</v>
      </c>
      <c r="C628" s="8" t="s">
        <v>3120</v>
      </c>
      <c r="D628" s="29" t="s">
        <v>1877</v>
      </c>
      <c r="E628" s="8" t="s">
        <v>195</v>
      </c>
      <c r="F628" s="8" t="s">
        <v>24</v>
      </c>
      <c r="G628" s="25"/>
      <c r="H628" s="27"/>
      <c r="I628" s="8"/>
      <c r="J628" s="8"/>
      <c r="K628" s="8"/>
      <c r="L628" s="8"/>
      <c r="M628" s="8"/>
      <c r="N628" s="8"/>
      <c r="O628" s="8"/>
      <c r="P628" s="8"/>
    </row>
    <row r="629" spans="1:16" x14ac:dyDescent="0.25">
      <c r="A629" s="8" t="s">
        <v>1874</v>
      </c>
      <c r="B629" s="8" t="s">
        <v>3121</v>
      </c>
      <c r="C629" s="8" t="s">
        <v>3122</v>
      </c>
      <c r="D629" s="29" t="s">
        <v>1877</v>
      </c>
      <c r="E629" s="8" t="s">
        <v>24</v>
      </c>
      <c r="F629" s="8" t="s">
        <v>24</v>
      </c>
      <c r="G629" s="25"/>
      <c r="H629" s="27"/>
      <c r="I629" s="8"/>
      <c r="J629" s="8"/>
      <c r="K629" s="8"/>
      <c r="L629" s="8"/>
      <c r="M629" s="8"/>
      <c r="N629" s="8"/>
      <c r="O629" s="8"/>
      <c r="P629" s="8"/>
    </row>
    <row r="630" spans="1:16" x14ac:dyDescent="0.25">
      <c r="A630" s="8" t="s">
        <v>1874</v>
      </c>
      <c r="B630" s="8" t="s">
        <v>3123</v>
      </c>
      <c r="C630" s="8" t="s">
        <v>3124</v>
      </c>
      <c r="D630" s="29" t="s">
        <v>1877</v>
      </c>
      <c r="E630" s="8" t="s">
        <v>24</v>
      </c>
      <c r="F630" s="8" t="s">
        <v>24</v>
      </c>
      <c r="G630" s="25"/>
      <c r="H630" s="27"/>
      <c r="I630" s="8"/>
      <c r="J630" s="8"/>
      <c r="K630" s="8"/>
      <c r="L630" s="8"/>
      <c r="M630" s="8"/>
      <c r="N630" s="8"/>
      <c r="O630" s="8"/>
      <c r="P630" s="8"/>
    </row>
    <row r="631" spans="1:16" x14ac:dyDescent="0.25">
      <c r="A631" s="8" t="s">
        <v>1874</v>
      </c>
      <c r="B631" s="8" t="s">
        <v>3125</v>
      </c>
      <c r="C631" s="8" t="s">
        <v>3126</v>
      </c>
      <c r="D631" s="29" t="s">
        <v>1877</v>
      </c>
      <c r="E631" s="8" t="s">
        <v>24</v>
      </c>
      <c r="F631" s="8" t="s">
        <v>24</v>
      </c>
      <c r="G631" s="25"/>
      <c r="H631" s="27"/>
      <c r="I631" s="8"/>
      <c r="J631" s="8"/>
      <c r="K631" s="8"/>
      <c r="L631" s="8"/>
      <c r="M631" s="8"/>
      <c r="N631" s="8"/>
      <c r="O631" s="8"/>
      <c r="P631" s="8"/>
    </row>
    <row r="632" spans="1:16" x14ac:dyDescent="0.25">
      <c r="A632" s="8" t="s">
        <v>1874</v>
      </c>
      <c r="B632" s="8" t="s">
        <v>3127</v>
      </c>
      <c r="C632" s="8" t="s">
        <v>3128</v>
      </c>
      <c r="D632" s="29" t="s">
        <v>1877</v>
      </c>
      <c r="E632" s="8" t="s">
        <v>195</v>
      </c>
      <c r="F632" s="8" t="s">
        <v>24</v>
      </c>
      <c r="G632" s="25"/>
      <c r="H632" s="27"/>
      <c r="I632" s="8"/>
      <c r="J632" s="8"/>
      <c r="K632" s="8"/>
      <c r="L632" s="8"/>
      <c r="M632" s="8"/>
      <c r="N632" s="8"/>
      <c r="O632" s="8"/>
      <c r="P632" s="8"/>
    </row>
    <row r="633" spans="1:16" x14ac:dyDescent="0.25">
      <c r="A633" s="8" t="s">
        <v>1874</v>
      </c>
      <c r="B633" s="8" t="s">
        <v>3129</v>
      </c>
      <c r="C633" s="8" t="s">
        <v>3130</v>
      </c>
      <c r="D633" s="29" t="s">
        <v>1877</v>
      </c>
      <c r="E633" s="8" t="s">
        <v>195</v>
      </c>
      <c r="F633" s="8" t="s">
        <v>24</v>
      </c>
      <c r="G633" s="25"/>
      <c r="H633" s="27"/>
      <c r="I633" s="8"/>
      <c r="J633" s="8"/>
      <c r="K633" s="8"/>
      <c r="L633" s="8"/>
      <c r="M633" s="8"/>
      <c r="N633" s="8"/>
      <c r="O633" s="8"/>
      <c r="P633" s="8"/>
    </row>
    <row r="634" spans="1:16" x14ac:dyDescent="0.25">
      <c r="A634" s="8" t="s">
        <v>1914</v>
      </c>
      <c r="B634" s="8" t="s">
        <v>3131</v>
      </c>
      <c r="C634" s="8" t="s">
        <v>3132</v>
      </c>
      <c r="D634" s="29" t="s">
        <v>1917</v>
      </c>
      <c r="E634" s="8" t="s">
        <v>24</v>
      </c>
      <c r="F634" s="8" t="s">
        <v>24</v>
      </c>
      <c r="G634" s="25">
        <v>30</v>
      </c>
      <c r="H634" s="27" t="str">
        <f>HYPERLINK("https://doc.morningstar.com/Document/05148964881b620eb4cf2fea2875de21.msdoc?clientid=fnz&amp;key=9c0e4d166b60ffd3","TMD")</f>
        <v>TMD</v>
      </c>
      <c r="I634" s="8" t="s">
        <v>25</v>
      </c>
      <c r="J634" s="8" t="s">
        <v>26</v>
      </c>
      <c r="K634" s="8" t="s">
        <v>27</v>
      </c>
      <c r="L634" s="8" t="s">
        <v>27</v>
      </c>
      <c r="M634" s="8" t="s">
        <v>26</v>
      </c>
      <c r="N634" s="8" t="s">
        <v>26</v>
      </c>
      <c r="O634" s="8" t="s">
        <v>27</v>
      </c>
      <c r="P634" s="8" t="s">
        <v>27</v>
      </c>
    </row>
    <row r="635" spans="1:16" x14ac:dyDescent="0.25">
      <c r="A635" s="8" t="s">
        <v>1914</v>
      </c>
      <c r="B635" s="8" t="s">
        <v>3133</v>
      </c>
      <c r="C635" s="8" t="s">
        <v>3134</v>
      </c>
      <c r="D635" s="29" t="s">
        <v>1917</v>
      </c>
      <c r="E635" s="8" t="s">
        <v>195</v>
      </c>
      <c r="F635" s="8" t="s">
        <v>24</v>
      </c>
      <c r="G635" s="25"/>
      <c r="H635" s="27" t="str">
        <f>HYPERLINK("https://doc.morningstar.com/Document/74ecbc2059f3b56d084d43521d20e3c7.msdoc?clientid=fnz&amp;key=9c0e4d166b60ffd3","TMD")</f>
        <v>TMD</v>
      </c>
      <c r="I635" s="8" t="s">
        <v>25</v>
      </c>
      <c r="J635" s="8" t="s">
        <v>26</v>
      </c>
      <c r="K635" s="8" t="s">
        <v>27</v>
      </c>
      <c r="L635" s="8" t="s">
        <v>27</v>
      </c>
      <c r="M635" s="8" t="s">
        <v>26</v>
      </c>
      <c r="N635" s="8" t="s">
        <v>27</v>
      </c>
      <c r="O635" s="8" t="s">
        <v>27</v>
      </c>
      <c r="P635" s="8" t="s">
        <v>26</v>
      </c>
    </row>
    <row r="636" spans="1:16" x14ac:dyDescent="0.25">
      <c r="A636" s="8" t="s">
        <v>1914</v>
      </c>
      <c r="B636" s="8" t="s">
        <v>3135</v>
      </c>
      <c r="C636" s="8" t="s">
        <v>3136</v>
      </c>
      <c r="D636" s="29" t="s">
        <v>1917</v>
      </c>
      <c r="E636" s="8" t="s">
        <v>24</v>
      </c>
      <c r="F636" s="8" t="s">
        <v>24</v>
      </c>
      <c r="G636" s="25">
        <v>30</v>
      </c>
      <c r="H636" s="27" t="str">
        <f>HYPERLINK("https://doc.morningstar.com/Document/23228e479f6072ff3a34e9cadcd106a2.msdoc?clientid=fnz&amp;key=9c0e4d166b60ffd3","TMD")</f>
        <v>TMD</v>
      </c>
      <c r="I636" s="8" t="s">
        <v>25</v>
      </c>
      <c r="J636" s="8" t="s">
        <v>26</v>
      </c>
      <c r="K636" s="8" t="s">
        <v>27</v>
      </c>
      <c r="L636" s="8" t="s">
        <v>27</v>
      </c>
      <c r="M636" s="8" t="s">
        <v>26</v>
      </c>
      <c r="N636" s="8" t="s">
        <v>26</v>
      </c>
      <c r="O636" s="8" t="s">
        <v>27</v>
      </c>
      <c r="P636" s="8" t="s">
        <v>27</v>
      </c>
    </row>
    <row r="637" spans="1:16" x14ac:dyDescent="0.25">
      <c r="A637" s="8" t="s">
        <v>1914</v>
      </c>
      <c r="B637" s="8" t="s">
        <v>3137</v>
      </c>
      <c r="C637" s="8" t="s">
        <v>3138</v>
      </c>
      <c r="D637" s="29" t="s">
        <v>1917</v>
      </c>
      <c r="E637" s="8" t="s">
        <v>24</v>
      </c>
      <c r="F637" s="8" t="s">
        <v>24</v>
      </c>
      <c r="G637" s="25">
        <v>100</v>
      </c>
      <c r="H637" s="27" t="str">
        <f>HYPERLINK("https://doc.morningstar.com/Document/f4176e72454f79fc5be933e63328c651.msdoc?clientid=fnz&amp;key=9c0e4d166b60ffd3","TMD")</f>
        <v>TMD</v>
      </c>
      <c r="I637" s="8" t="s">
        <v>25</v>
      </c>
      <c r="J637" s="8" t="s">
        <v>27</v>
      </c>
      <c r="K637" s="8" t="s">
        <v>27</v>
      </c>
      <c r="L637" s="8" t="s">
        <v>27</v>
      </c>
      <c r="M637" s="8" t="s">
        <v>27</v>
      </c>
      <c r="N637" s="8" t="s">
        <v>26</v>
      </c>
      <c r="O637" s="8" t="s">
        <v>26</v>
      </c>
      <c r="P637" s="8" t="s">
        <v>26</v>
      </c>
    </row>
    <row r="638" spans="1:16" x14ac:dyDescent="0.25">
      <c r="A638" s="8" t="s">
        <v>1914</v>
      </c>
      <c r="B638" s="8" t="s">
        <v>3139</v>
      </c>
      <c r="C638" s="8" t="s">
        <v>3140</v>
      </c>
      <c r="D638" s="29" t="s">
        <v>1917</v>
      </c>
      <c r="E638" s="8" t="s">
        <v>24</v>
      </c>
      <c r="F638" s="8" t="s">
        <v>24</v>
      </c>
      <c r="G638" s="25">
        <v>100</v>
      </c>
      <c r="H638" s="27" t="str">
        <f>HYPERLINK("https://doc.morningstar.com/Document/7ba705e2703a23bfa2bec7e114a2a7b9.msdoc?clientid=fnz&amp;key=9c0e4d166b60ffd3","TMD")</f>
        <v>TMD</v>
      </c>
      <c r="I638" s="8" t="s">
        <v>25</v>
      </c>
      <c r="J638" s="8" t="s">
        <v>216</v>
      </c>
      <c r="K638" s="8" t="s">
        <v>27</v>
      </c>
      <c r="L638" s="8" t="s">
        <v>27</v>
      </c>
      <c r="M638" s="8" t="s">
        <v>26</v>
      </c>
      <c r="N638" s="8" t="s">
        <v>27</v>
      </c>
      <c r="O638" s="8" t="s">
        <v>26</v>
      </c>
      <c r="P638" s="8" t="s">
        <v>26</v>
      </c>
    </row>
    <row r="639" spans="1:16" x14ac:dyDescent="0.25">
      <c r="A639" s="8" t="s">
        <v>1914</v>
      </c>
      <c r="B639" s="8" t="s">
        <v>3141</v>
      </c>
      <c r="C639" s="8" t="s">
        <v>3142</v>
      </c>
      <c r="D639" s="29" t="s">
        <v>1917</v>
      </c>
      <c r="E639" s="8" t="s">
        <v>24</v>
      </c>
      <c r="F639" s="8" t="s">
        <v>24</v>
      </c>
      <c r="G639" s="25"/>
      <c r="H639" s="27" t="str">
        <f>HYPERLINK("https://doc.morningstar.com/Document/05148964881b620eaf09de2f76bcf797.msdoc?clientid=fnz&amp;key=9c0e4d166b60ffd3","TMD")</f>
        <v>TMD</v>
      </c>
      <c r="I639" s="8" t="s">
        <v>25</v>
      </c>
      <c r="J639" s="8" t="s">
        <v>216</v>
      </c>
      <c r="K639" s="8" t="s">
        <v>27</v>
      </c>
      <c r="L639" s="8" t="s">
        <v>27</v>
      </c>
      <c r="M639" s="8" t="s">
        <v>26</v>
      </c>
      <c r="N639" s="8" t="s">
        <v>27</v>
      </c>
      <c r="O639" s="8" t="s">
        <v>26</v>
      </c>
      <c r="P639" s="8" t="s">
        <v>26</v>
      </c>
    </row>
    <row r="640" spans="1:16" x14ac:dyDescent="0.25">
      <c r="A640" s="8" t="s">
        <v>1914</v>
      </c>
      <c r="B640" s="8" t="s">
        <v>3143</v>
      </c>
      <c r="C640" s="8" t="s">
        <v>3144</v>
      </c>
      <c r="D640" s="29" t="s">
        <v>1917</v>
      </c>
      <c r="E640" s="8" t="s">
        <v>24</v>
      </c>
      <c r="F640" s="8" t="s">
        <v>24</v>
      </c>
      <c r="G640" s="25">
        <v>100</v>
      </c>
      <c r="H640" s="27" t="str">
        <f>HYPERLINK("https://doc.morningstar.com/Document/03f758a9d305a1c49cc4ce2b3a2c399d.msdoc?clientid=fnz&amp;key=9c0e4d166b60ffd3","TMD")</f>
        <v>TMD</v>
      </c>
      <c r="I640" s="8" t="s">
        <v>25</v>
      </c>
      <c r="J640" s="8" t="s">
        <v>26</v>
      </c>
      <c r="K640" s="8" t="s">
        <v>27</v>
      </c>
      <c r="L640" s="8" t="s">
        <v>27</v>
      </c>
      <c r="M640" s="8" t="s">
        <v>26</v>
      </c>
      <c r="N640" s="8" t="s">
        <v>27</v>
      </c>
      <c r="O640" s="8" t="s">
        <v>26</v>
      </c>
      <c r="P640" s="8" t="s">
        <v>26</v>
      </c>
    </row>
    <row r="641" spans="1:16" x14ac:dyDescent="0.25">
      <c r="A641" s="8" t="s">
        <v>1914</v>
      </c>
      <c r="B641" s="8" t="s">
        <v>3145</v>
      </c>
      <c r="C641" s="8" t="s">
        <v>3146</v>
      </c>
      <c r="D641" s="29" t="s">
        <v>1917</v>
      </c>
      <c r="E641" s="8" t="s">
        <v>195</v>
      </c>
      <c r="F641" s="8" t="s">
        <v>24</v>
      </c>
      <c r="G641" s="25"/>
      <c r="H641" s="27" t="str">
        <f>HYPERLINK("https://doc.morningstar.com/Document/2f4c83929d5202e110376d550d74ff01.msdoc?clientid=fnz&amp;key=9c0e4d166b60ffd3","TMD")</f>
        <v>TMD</v>
      </c>
      <c r="I641" s="8" t="s">
        <v>25</v>
      </c>
      <c r="J641" s="8" t="s">
        <v>26</v>
      </c>
      <c r="K641" s="8" t="s">
        <v>27</v>
      </c>
      <c r="L641" s="8" t="s">
        <v>27</v>
      </c>
      <c r="M641" s="8" t="s">
        <v>26</v>
      </c>
      <c r="N641" s="8" t="s">
        <v>27</v>
      </c>
      <c r="O641" s="8" t="s">
        <v>27</v>
      </c>
      <c r="P641" s="8" t="s">
        <v>26</v>
      </c>
    </row>
    <row r="642" spans="1:16" x14ac:dyDescent="0.25">
      <c r="A642" s="8" t="s">
        <v>1914</v>
      </c>
      <c r="B642" s="8" t="s">
        <v>3147</v>
      </c>
      <c r="C642" s="8" t="s">
        <v>3148</v>
      </c>
      <c r="D642" s="29" t="s">
        <v>1917</v>
      </c>
      <c r="E642" s="8" t="s">
        <v>24</v>
      </c>
      <c r="F642" s="8" t="s">
        <v>24</v>
      </c>
      <c r="G642" s="25">
        <v>100</v>
      </c>
      <c r="H642" s="27" t="str">
        <f>HYPERLINK("https://doc.morningstar.com/Document/77096f57abf75b230d5a51c423ebf7c7.msdoc?clientid=fnz&amp;key=9c0e4d166b60ffd3","TMD")</f>
        <v>TMD</v>
      </c>
      <c r="I642" s="8" t="s">
        <v>25</v>
      </c>
      <c r="J642" s="8" t="s">
        <v>26</v>
      </c>
      <c r="K642" s="8" t="s">
        <v>27</v>
      </c>
      <c r="L642" s="8" t="s">
        <v>27</v>
      </c>
      <c r="M642" s="8" t="s">
        <v>26</v>
      </c>
      <c r="N642" s="8" t="s">
        <v>26</v>
      </c>
      <c r="O642" s="8" t="s">
        <v>27</v>
      </c>
      <c r="P642" s="8" t="s">
        <v>27</v>
      </c>
    </row>
    <row r="643" spans="1:16" x14ac:dyDescent="0.25">
      <c r="A643" s="8" t="s">
        <v>1914</v>
      </c>
      <c r="B643" s="8" t="s">
        <v>3149</v>
      </c>
      <c r="C643" s="8" t="s">
        <v>3150</v>
      </c>
      <c r="D643" s="29" t="s">
        <v>1917</v>
      </c>
      <c r="E643" s="8" t="s">
        <v>24</v>
      </c>
      <c r="F643" s="8" t="s">
        <v>24</v>
      </c>
      <c r="G643" s="25">
        <v>100</v>
      </c>
      <c r="H643" s="27" t="str">
        <f>HYPERLINK("https://doc.morningstar.com/Document/28fd703796af1bebbf3b443223a996e7.msdoc?clientid=fnz&amp;key=9c0e4d166b60ffd3","TMD")</f>
        <v>TMD</v>
      </c>
      <c r="I643" s="8" t="s">
        <v>25</v>
      </c>
      <c r="J643" s="8" t="s">
        <v>26</v>
      </c>
      <c r="K643" s="8" t="s">
        <v>27</v>
      </c>
      <c r="L643" s="8" t="s">
        <v>27</v>
      </c>
      <c r="M643" s="8" t="s">
        <v>26</v>
      </c>
      <c r="N643" s="8" t="s">
        <v>27</v>
      </c>
      <c r="O643" s="8" t="s">
        <v>27</v>
      </c>
      <c r="P643" s="8" t="s">
        <v>26</v>
      </c>
    </row>
    <row r="644" spans="1:16" x14ac:dyDescent="0.25">
      <c r="A644" s="8" t="s">
        <v>1914</v>
      </c>
      <c r="B644" s="8" t="s">
        <v>3151</v>
      </c>
      <c r="C644" s="8" t="s">
        <v>3152</v>
      </c>
      <c r="D644" s="29" t="s">
        <v>1917</v>
      </c>
      <c r="E644" s="8" t="s">
        <v>24</v>
      </c>
      <c r="F644" s="8" t="s">
        <v>24</v>
      </c>
      <c r="G644" s="25">
        <v>100</v>
      </c>
      <c r="H644" s="27" t="str">
        <f>HYPERLINK("https://doc.morningstar.com/Document/23228e479f6072ff916d3211b5b2e311.msdoc?clientid=fnz&amp;key=9c0e4d166b60ffd3","TMD")</f>
        <v>TMD</v>
      </c>
      <c r="I644" s="8" t="s">
        <v>25</v>
      </c>
      <c r="J644" s="8" t="s">
        <v>26</v>
      </c>
      <c r="K644" s="8" t="s">
        <v>27</v>
      </c>
      <c r="L644" s="8" t="s">
        <v>27</v>
      </c>
      <c r="M644" s="8" t="s">
        <v>26</v>
      </c>
      <c r="N644" s="8" t="s">
        <v>27</v>
      </c>
      <c r="O644" s="8" t="s">
        <v>27</v>
      </c>
      <c r="P644" s="8" t="s">
        <v>26</v>
      </c>
    </row>
    <row r="645" spans="1:16" x14ac:dyDescent="0.25">
      <c r="A645" s="8" t="s">
        <v>1914</v>
      </c>
      <c r="B645" s="8" t="s">
        <v>3153</v>
      </c>
      <c r="C645" s="8" t="s">
        <v>3154</v>
      </c>
      <c r="D645" s="29" t="s">
        <v>1917</v>
      </c>
      <c r="E645" s="8" t="s">
        <v>195</v>
      </c>
      <c r="F645" s="8" t="s">
        <v>24</v>
      </c>
      <c r="G645" s="25"/>
      <c r="H645" s="27" t="str">
        <f>HYPERLINK("https://doc.morningstar.com/Document/b1afe69d77f16c9ca336589b2ea5ea95.msdoc?clientid=fnz&amp;key=9c0e4d166b60ffd3","TMD")</f>
        <v>TMD</v>
      </c>
      <c r="I645" s="8" t="s">
        <v>25</v>
      </c>
      <c r="J645" s="8" t="s">
        <v>26</v>
      </c>
      <c r="K645" s="8" t="s">
        <v>27</v>
      </c>
      <c r="L645" s="8" t="s">
        <v>27</v>
      </c>
      <c r="M645" s="8" t="s">
        <v>26</v>
      </c>
      <c r="N645" s="8" t="s">
        <v>27</v>
      </c>
      <c r="O645" s="8" t="s">
        <v>26</v>
      </c>
      <c r="P645" s="8" t="s">
        <v>26</v>
      </c>
    </row>
    <row r="646" spans="1:16" x14ac:dyDescent="0.25">
      <c r="A646" s="8" t="s">
        <v>1914</v>
      </c>
      <c r="B646" s="8" t="s">
        <v>3155</v>
      </c>
      <c r="C646" s="8" t="s">
        <v>3156</v>
      </c>
      <c r="D646" s="29" t="s">
        <v>1917</v>
      </c>
      <c r="E646" s="8" t="s">
        <v>24</v>
      </c>
      <c r="F646" s="8" t="s">
        <v>24</v>
      </c>
      <c r="G646" s="25">
        <v>100</v>
      </c>
      <c r="H646" s="27" t="str">
        <f>HYPERLINK("https://doc.morningstar.com/Document/4019bb90d2efe16e3bb534bb89174243.msdoc?clientid=fnz&amp;key=9c0e4d166b60ffd3","TMD")</f>
        <v>TMD</v>
      </c>
      <c r="I646" s="8" t="s">
        <v>25</v>
      </c>
      <c r="J646" s="8" t="s">
        <v>26</v>
      </c>
      <c r="K646" s="8" t="s">
        <v>27</v>
      </c>
      <c r="L646" s="8" t="s">
        <v>27</v>
      </c>
      <c r="M646" s="8" t="s">
        <v>26</v>
      </c>
      <c r="N646" s="8" t="s">
        <v>27</v>
      </c>
      <c r="O646" s="8" t="s">
        <v>27</v>
      </c>
      <c r="P646" s="8" t="s">
        <v>26</v>
      </c>
    </row>
    <row r="647" spans="1:16" x14ac:dyDescent="0.25">
      <c r="A647" s="8" t="s">
        <v>1914</v>
      </c>
      <c r="B647" s="8" t="s">
        <v>3157</v>
      </c>
      <c r="C647" s="8" t="s">
        <v>3158</v>
      </c>
      <c r="D647" s="29" t="s">
        <v>1917</v>
      </c>
      <c r="E647" s="8" t="s">
        <v>24</v>
      </c>
      <c r="F647" s="8" t="s">
        <v>24</v>
      </c>
      <c r="G647" s="25">
        <v>100</v>
      </c>
      <c r="H647" s="27" t="str">
        <f>HYPERLINK("https://doc.morningstar.com/Document/ab11889fb2cb8f5f7434c8fdcc87a003.msdoc?clientid=fnz&amp;key=9c0e4d166b60ffd3","TMD")</f>
        <v>TMD</v>
      </c>
      <c r="I647" s="8" t="s">
        <v>25</v>
      </c>
      <c r="J647" s="8" t="s">
        <v>27</v>
      </c>
      <c r="K647" s="8" t="s">
        <v>27</v>
      </c>
      <c r="L647" s="8" t="s">
        <v>27</v>
      </c>
      <c r="M647" s="8" t="s">
        <v>27</v>
      </c>
      <c r="N647" s="8" t="s">
        <v>26</v>
      </c>
      <c r="O647" s="8" t="s">
        <v>26</v>
      </c>
      <c r="P647" s="8" t="s">
        <v>26</v>
      </c>
    </row>
    <row r="648" spans="1:16" x14ac:dyDescent="0.25">
      <c r="A648" s="8" t="s">
        <v>1914</v>
      </c>
      <c r="B648" s="8" t="s">
        <v>3159</v>
      </c>
      <c r="C648" s="8" t="s">
        <v>3160</v>
      </c>
      <c r="D648" s="29" t="s">
        <v>1917</v>
      </c>
      <c r="E648" s="8" t="s">
        <v>24</v>
      </c>
      <c r="F648" s="8" t="s">
        <v>24</v>
      </c>
      <c r="G648" s="25">
        <v>30</v>
      </c>
      <c r="H648" s="27" t="str">
        <f>HYPERLINK("https://doc.morningstar.com/Document/77096f57abf75b238757083c1c28836f.msdoc?clientid=fnz&amp;key=9c0e4d166b60ffd3","TMD")</f>
        <v>TMD</v>
      </c>
      <c r="I648" s="8" t="s">
        <v>25</v>
      </c>
      <c r="J648" s="8" t="s">
        <v>26</v>
      </c>
      <c r="K648" s="8" t="s">
        <v>27</v>
      </c>
      <c r="L648" s="8" t="s">
        <v>27</v>
      </c>
      <c r="M648" s="8" t="s">
        <v>26</v>
      </c>
      <c r="N648" s="8" t="s">
        <v>27</v>
      </c>
      <c r="O648" s="8" t="s">
        <v>27</v>
      </c>
      <c r="P648" s="8" t="s">
        <v>26</v>
      </c>
    </row>
    <row r="649" spans="1:16" x14ac:dyDescent="0.25">
      <c r="A649" s="8" t="s">
        <v>1914</v>
      </c>
      <c r="B649" s="8" t="s">
        <v>3161</v>
      </c>
      <c r="C649" s="8" t="s">
        <v>3162</v>
      </c>
      <c r="D649" s="29" t="s">
        <v>1917</v>
      </c>
      <c r="E649" s="8" t="s">
        <v>24</v>
      </c>
      <c r="F649" s="8" t="s">
        <v>24</v>
      </c>
      <c r="G649" s="25">
        <v>50</v>
      </c>
      <c r="H649" s="27" t="str">
        <f>HYPERLINK("https://doc.morningstar.com/Document/f71a39dc18818c5606a194f608c26c6a.msdoc?clientid=fnz&amp;key=9c0e4d166b60ffd3","TMD")</f>
        <v>TMD</v>
      </c>
      <c r="I649" s="8" t="s">
        <v>25</v>
      </c>
      <c r="J649" s="8" t="s">
        <v>26</v>
      </c>
      <c r="K649" s="8" t="s">
        <v>27</v>
      </c>
      <c r="L649" s="8" t="s">
        <v>27</v>
      </c>
      <c r="M649" s="8" t="s">
        <v>26</v>
      </c>
      <c r="N649" s="8" t="s">
        <v>27</v>
      </c>
      <c r="O649" s="8" t="s">
        <v>27</v>
      </c>
      <c r="P649" s="8" t="s">
        <v>26</v>
      </c>
    </row>
    <row r="650" spans="1:16" x14ac:dyDescent="0.25">
      <c r="A650" s="8" t="s">
        <v>1878</v>
      </c>
      <c r="B650" s="8" t="s">
        <v>3163</v>
      </c>
      <c r="C650" s="8" t="s">
        <v>3164</v>
      </c>
      <c r="D650" s="29" t="s">
        <v>1917</v>
      </c>
      <c r="E650" s="8" t="s">
        <v>195</v>
      </c>
      <c r="F650" s="8" t="s">
        <v>24</v>
      </c>
      <c r="G650" s="25"/>
      <c r="H650" s="27" t="str">
        <f>HYPERLINK("https://doc.morningstar.com/Document/616f607738c04215f6e81f8525ccbac3.msdoc?clientid=fnz&amp;key=9c0e4d166b60ffd3","TMD")</f>
        <v>TMD</v>
      </c>
      <c r="I650" s="8" t="s">
        <v>25</v>
      </c>
      <c r="J650" s="8" t="s">
        <v>26</v>
      </c>
      <c r="K650" s="8" t="s">
        <v>27</v>
      </c>
      <c r="L650" s="8" t="s">
        <v>27</v>
      </c>
      <c r="M650" s="8" t="s">
        <v>26</v>
      </c>
      <c r="N650" s="8" t="s">
        <v>26</v>
      </c>
      <c r="O650" s="8" t="s">
        <v>27</v>
      </c>
      <c r="P650" s="8" t="s">
        <v>27</v>
      </c>
    </row>
    <row r="651" spans="1:16" x14ac:dyDescent="0.25">
      <c r="A651" s="8" t="s">
        <v>1914</v>
      </c>
      <c r="B651" s="8" t="s">
        <v>3165</v>
      </c>
      <c r="C651" s="8" t="s">
        <v>3166</v>
      </c>
      <c r="D651" s="29" t="s">
        <v>1917</v>
      </c>
      <c r="E651" s="8" t="s">
        <v>24</v>
      </c>
      <c r="F651" s="8" t="s">
        <v>24</v>
      </c>
      <c r="G651" s="25">
        <v>100</v>
      </c>
      <c r="H651" s="27" t="str">
        <f>HYPERLINK("https://doc.morningstar.com/Document/07bba4d2e179df2e6ba8a6ea0de71b1b.msdoc?clientid=fnz&amp;key=9c0e4d166b60ffd3","TMD")</f>
        <v>TMD</v>
      </c>
      <c r="I651" s="8" t="s">
        <v>25</v>
      </c>
      <c r="J651" s="8" t="s">
        <v>26</v>
      </c>
      <c r="K651" s="8" t="s">
        <v>27</v>
      </c>
      <c r="L651" s="8" t="s">
        <v>27</v>
      </c>
      <c r="M651" s="8" t="s">
        <v>26</v>
      </c>
      <c r="N651" s="8" t="s">
        <v>26</v>
      </c>
      <c r="O651" s="8" t="s">
        <v>27</v>
      </c>
      <c r="P651" s="8" t="s">
        <v>27</v>
      </c>
    </row>
    <row r="652" spans="1:16" x14ac:dyDescent="0.25">
      <c r="A652" s="8" t="s">
        <v>1914</v>
      </c>
      <c r="B652" s="8" t="s">
        <v>3167</v>
      </c>
      <c r="C652" s="8" t="s">
        <v>3168</v>
      </c>
      <c r="D652" s="29" t="s">
        <v>1917</v>
      </c>
      <c r="E652" s="8" t="s">
        <v>24</v>
      </c>
      <c r="F652" s="8" t="s">
        <v>24</v>
      </c>
      <c r="G652" s="25">
        <v>100</v>
      </c>
      <c r="H652" s="27" t="str">
        <f>HYPERLINK("https://doc.morningstar.com/Document/b1f31695101af2444b8658e355c1ea7c.msdoc?clientid=fnz&amp;key=9c0e4d166b60ffd3","TMD")</f>
        <v>TMD</v>
      </c>
      <c r="I652" s="8" t="s">
        <v>25</v>
      </c>
      <c r="J652" s="8" t="s">
        <v>26</v>
      </c>
      <c r="K652" s="8" t="s">
        <v>27</v>
      </c>
      <c r="L652" s="8" t="s">
        <v>27</v>
      </c>
      <c r="M652" s="8" t="s">
        <v>26</v>
      </c>
      <c r="N652" s="8" t="s">
        <v>27</v>
      </c>
      <c r="O652" s="8" t="s">
        <v>27</v>
      </c>
      <c r="P652" s="8" t="s">
        <v>26</v>
      </c>
    </row>
    <row r="653" spans="1:16" x14ac:dyDescent="0.25">
      <c r="A653" s="8" t="s">
        <v>1914</v>
      </c>
      <c r="B653" s="8" t="s">
        <v>3169</v>
      </c>
      <c r="C653" s="8" t="s">
        <v>3170</v>
      </c>
      <c r="D653" s="29" t="s">
        <v>1917</v>
      </c>
      <c r="E653" s="8" t="s">
        <v>24</v>
      </c>
      <c r="F653" s="8" t="s">
        <v>24</v>
      </c>
      <c r="G653" s="25">
        <v>100</v>
      </c>
      <c r="H653" s="27" t="str">
        <f>HYPERLINK("https://doc.morningstar.com/Document/2deef0172c635ead912745044f24d4b3.msdoc?clientid=fnz&amp;key=9c0e4d166b60ffd3","TMD")</f>
        <v>TMD</v>
      </c>
      <c r="I653" s="8" t="s">
        <v>25</v>
      </c>
      <c r="J653" s="8" t="s">
        <v>26</v>
      </c>
      <c r="K653" s="8" t="s">
        <v>27</v>
      </c>
      <c r="L653" s="8" t="s">
        <v>27</v>
      </c>
      <c r="M653" s="8" t="s">
        <v>26</v>
      </c>
      <c r="N653" s="8" t="s">
        <v>27</v>
      </c>
      <c r="O653" s="8" t="s">
        <v>26</v>
      </c>
      <c r="P653" s="8" t="s">
        <v>26</v>
      </c>
    </row>
    <row r="654" spans="1:16" x14ac:dyDescent="0.25">
      <c r="A654" s="8" t="s">
        <v>1914</v>
      </c>
      <c r="B654" s="8" t="s">
        <v>3171</v>
      </c>
      <c r="C654" s="8" t="s">
        <v>3172</v>
      </c>
      <c r="D654" s="29" t="s">
        <v>1917</v>
      </c>
      <c r="E654" s="8" t="s">
        <v>24</v>
      </c>
      <c r="F654" s="8" t="s">
        <v>24</v>
      </c>
      <c r="G654" s="25">
        <v>30</v>
      </c>
      <c r="H654" s="27" t="str">
        <f>HYPERLINK("https://doc.morningstar.com/Document/23228e479f6072ffded1a829d822a9b0.msdoc?clientid=fnz&amp;key=9c0e4d166b60ffd3","TMD")</f>
        <v>TMD</v>
      </c>
      <c r="I654" s="8" t="s">
        <v>25</v>
      </c>
      <c r="J654" s="8" t="s">
        <v>26</v>
      </c>
      <c r="K654" s="8" t="s">
        <v>27</v>
      </c>
      <c r="L654" s="8" t="s">
        <v>27</v>
      </c>
      <c r="M654" s="8" t="s">
        <v>26</v>
      </c>
      <c r="N654" s="8" t="s">
        <v>27</v>
      </c>
      <c r="O654" s="8" t="s">
        <v>27</v>
      </c>
      <c r="P654" s="8" t="s">
        <v>26</v>
      </c>
    </row>
    <row r="655" spans="1:16" x14ac:dyDescent="0.25">
      <c r="A655" s="8" t="s">
        <v>1914</v>
      </c>
      <c r="B655" s="8" t="s">
        <v>3173</v>
      </c>
      <c r="C655" s="8" t="s">
        <v>3174</v>
      </c>
      <c r="D655" s="29" t="s">
        <v>1917</v>
      </c>
      <c r="E655" s="8" t="s">
        <v>24</v>
      </c>
      <c r="F655" s="8" t="s">
        <v>24</v>
      </c>
      <c r="G655" s="25">
        <v>30</v>
      </c>
      <c r="H655" s="27" t="str">
        <f>HYPERLINK("https://doc.morningstar.com/Document/2f4c83929d5202e11f0172a88687ed90.msdoc?clientid=fnz&amp;key=9c0e4d166b60ffd3","TMD")</f>
        <v>TMD</v>
      </c>
      <c r="I655" s="8" t="s">
        <v>25</v>
      </c>
      <c r="J655" s="8" t="s">
        <v>26</v>
      </c>
      <c r="K655" s="8" t="s">
        <v>27</v>
      </c>
      <c r="L655" s="8" t="s">
        <v>27</v>
      </c>
      <c r="M655" s="8" t="s">
        <v>26</v>
      </c>
      <c r="N655" s="8" t="s">
        <v>26</v>
      </c>
      <c r="O655" s="8" t="s">
        <v>27</v>
      </c>
      <c r="P655" s="8" t="s">
        <v>27</v>
      </c>
    </row>
    <row r="656" spans="1:16" x14ac:dyDescent="0.25">
      <c r="A656" s="8" t="s">
        <v>1914</v>
      </c>
      <c r="B656" s="8" t="s">
        <v>3175</v>
      </c>
      <c r="C656" s="8" t="s">
        <v>3176</v>
      </c>
      <c r="D656" s="29" t="s">
        <v>1917</v>
      </c>
      <c r="E656" s="8" t="s">
        <v>24</v>
      </c>
      <c r="F656" s="8" t="s">
        <v>24</v>
      </c>
      <c r="G656" s="25">
        <v>100</v>
      </c>
      <c r="H656" s="27" t="str">
        <f>HYPERLINK("https://doc.morningstar.com/Document/a4ac2625490e12f497bddbfd7008dc7b.msdoc?clientid=fnz&amp;key=9c0e4d166b60ffd3","TMD")</f>
        <v>TMD</v>
      </c>
      <c r="I656" s="8" t="s">
        <v>25</v>
      </c>
      <c r="J656" s="8" t="s">
        <v>26</v>
      </c>
      <c r="K656" s="8" t="s">
        <v>27</v>
      </c>
      <c r="L656" s="8" t="s">
        <v>27</v>
      </c>
      <c r="M656" s="8" t="s">
        <v>26</v>
      </c>
      <c r="N656" s="8" t="s">
        <v>27</v>
      </c>
      <c r="O656" s="8" t="s">
        <v>26</v>
      </c>
      <c r="P656" s="8" t="s">
        <v>26</v>
      </c>
    </row>
    <row r="657" spans="1:16" x14ac:dyDescent="0.25">
      <c r="A657" s="8" t="s">
        <v>1914</v>
      </c>
      <c r="B657" s="8" t="s">
        <v>3177</v>
      </c>
      <c r="C657" s="8" t="s">
        <v>3178</v>
      </c>
      <c r="D657" s="29" t="s">
        <v>1917</v>
      </c>
      <c r="E657" s="8" t="s">
        <v>24</v>
      </c>
      <c r="F657" s="8" t="s">
        <v>24</v>
      </c>
      <c r="G657" s="25">
        <v>100</v>
      </c>
      <c r="H657" s="27" t="str">
        <f>HYPERLINK("https://doc.morningstar.com/Document/97c8d5acdcc216a6a52e89b01f3c381f.msdoc?clientid=fnz&amp;key=9c0e4d166b60ffd3","TMD")</f>
        <v>TMD</v>
      </c>
      <c r="I657" s="8" t="s">
        <v>25</v>
      </c>
      <c r="J657" s="8" t="s">
        <v>216</v>
      </c>
      <c r="K657" s="8" t="s">
        <v>27</v>
      </c>
      <c r="L657" s="8" t="s">
        <v>27</v>
      </c>
      <c r="M657" s="8" t="s">
        <v>26</v>
      </c>
      <c r="N657" s="8" t="s">
        <v>27</v>
      </c>
      <c r="O657" s="8" t="s">
        <v>26</v>
      </c>
      <c r="P657" s="8" t="s">
        <v>26</v>
      </c>
    </row>
    <row r="658" spans="1:16" x14ac:dyDescent="0.25">
      <c r="A658" s="8" t="s">
        <v>1914</v>
      </c>
      <c r="B658" s="8" t="s">
        <v>3179</v>
      </c>
      <c r="C658" s="8" t="s">
        <v>3180</v>
      </c>
      <c r="D658" s="29" t="s">
        <v>1917</v>
      </c>
      <c r="E658" s="8" t="s">
        <v>195</v>
      </c>
      <c r="F658" s="8" t="s">
        <v>24</v>
      </c>
      <c r="G658" s="25"/>
      <c r="H658" s="27" t="str">
        <f>HYPERLINK("https://doc.morningstar.com/Document/7ba705e2703a23bf527b0605ae7dd75f.msdoc?clientid=fnz&amp;key=9c0e4d166b60ffd3","TMD")</f>
        <v>TMD</v>
      </c>
      <c r="I658" s="8" t="s">
        <v>25</v>
      </c>
      <c r="J658" s="8" t="s">
        <v>26</v>
      </c>
      <c r="K658" s="8" t="s">
        <v>27</v>
      </c>
      <c r="L658" s="8" t="s">
        <v>27</v>
      </c>
      <c r="M658" s="8" t="s">
        <v>26</v>
      </c>
      <c r="N658" s="8" t="s">
        <v>27</v>
      </c>
      <c r="O658" s="8" t="s">
        <v>26</v>
      </c>
      <c r="P658" s="8" t="s">
        <v>26</v>
      </c>
    </row>
    <row r="659" spans="1:16" x14ac:dyDescent="0.25">
      <c r="A659" s="8" t="s">
        <v>1914</v>
      </c>
      <c r="B659" s="8" t="s">
        <v>3181</v>
      </c>
      <c r="C659" s="8" t="s">
        <v>3182</v>
      </c>
      <c r="D659" s="29" t="s">
        <v>1917</v>
      </c>
      <c r="E659" s="8" t="s">
        <v>24</v>
      </c>
      <c r="F659" s="8" t="s">
        <v>24</v>
      </c>
      <c r="G659" s="25">
        <v>50</v>
      </c>
      <c r="H659" s="27" t="str">
        <f>HYPERLINK("https://doc.morningstar.com/Document/24fb6e13b6685e6d03c228be501adc6e.msdoc?clientid=fnz&amp;key=9c0e4d166b60ffd3","TMD")</f>
        <v>TMD</v>
      </c>
      <c r="I659" s="8" t="s">
        <v>25</v>
      </c>
      <c r="J659" s="8" t="s">
        <v>26</v>
      </c>
      <c r="K659" s="8" t="s">
        <v>27</v>
      </c>
      <c r="L659" s="8" t="s">
        <v>27</v>
      </c>
      <c r="M659" s="8" t="s">
        <v>26</v>
      </c>
      <c r="N659" s="8" t="s">
        <v>27</v>
      </c>
      <c r="O659" s="8" t="s">
        <v>27</v>
      </c>
      <c r="P659" s="8" t="s">
        <v>26</v>
      </c>
    </row>
    <row r="660" spans="1:16" x14ac:dyDescent="0.25">
      <c r="A660" s="8" t="s">
        <v>1914</v>
      </c>
      <c r="B660" s="8" t="s">
        <v>3183</v>
      </c>
      <c r="C660" s="8" t="s">
        <v>3184</v>
      </c>
      <c r="D660" s="29" t="s">
        <v>1917</v>
      </c>
      <c r="E660" s="8" t="s">
        <v>24</v>
      </c>
      <c r="F660" s="8" t="s">
        <v>24</v>
      </c>
      <c r="G660" s="25">
        <v>30</v>
      </c>
      <c r="H660" s="27" t="str">
        <f>HYPERLINK("https://doc.morningstar.com/Document/eb473de5d24c154495ed168f7cb1344f.msdoc?clientid=fnz&amp;key=9c0e4d166b60ffd3","TMD")</f>
        <v>TMD</v>
      </c>
      <c r="I660" s="8" t="s">
        <v>25</v>
      </c>
      <c r="J660" s="8" t="s">
        <v>26</v>
      </c>
      <c r="K660" s="8" t="s">
        <v>27</v>
      </c>
      <c r="L660" s="8" t="s">
        <v>27</v>
      </c>
      <c r="M660" s="8" t="s">
        <v>26</v>
      </c>
      <c r="N660" s="8" t="s">
        <v>26</v>
      </c>
      <c r="O660" s="8" t="s">
        <v>27</v>
      </c>
      <c r="P660" s="8" t="s">
        <v>27</v>
      </c>
    </row>
    <row r="661" spans="1:16" x14ac:dyDescent="0.25">
      <c r="A661" s="8" t="s">
        <v>1914</v>
      </c>
      <c r="B661" s="8" t="s">
        <v>3185</v>
      </c>
      <c r="C661" s="8" t="s">
        <v>3186</v>
      </c>
      <c r="D661" s="29" t="s">
        <v>1917</v>
      </c>
      <c r="E661" s="8" t="s">
        <v>195</v>
      </c>
      <c r="F661" s="8" t="s">
        <v>24</v>
      </c>
      <c r="G661" s="25"/>
      <c r="H661" s="27" t="str">
        <f>HYPERLINK("https://doc.morningstar.com/Document/b180c0aec89dc7bef8543bda40360f4c.msdoc?clientid=fnz&amp;key=9c0e4d166b60ffd3","TMD")</f>
        <v>TMD</v>
      </c>
      <c r="I661" s="8" t="s">
        <v>25</v>
      </c>
      <c r="J661" s="8" t="s">
        <v>25</v>
      </c>
      <c r="K661" s="8" t="s">
        <v>25</v>
      </c>
      <c r="L661" s="8" t="s">
        <v>25</v>
      </c>
      <c r="M661" s="8" t="s">
        <v>26</v>
      </c>
      <c r="N661" s="8" t="s">
        <v>27</v>
      </c>
      <c r="O661" s="8" t="s">
        <v>27</v>
      </c>
      <c r="P661" s="8" t="s">
        <v>26</v>
      </c>
    </row>
    <row r="662" spans="1:16" x14ac:dyDescent="0.25">
      <c r="A662" s="8" t="s">
        <v>1914</v>
      </c>
      <c r="B662" s="8" t="s">
        <v>3187</v>
      </c>
      <c r="C662" s="8" t="s">
        <v>3188</v>
      </c>
      <c r="D662" s="29" t="s">
        <v>1917</v>
      </c>
      <c r="E662" s="8" t="s">
        <v>24</v>
      </c>
      <c r="F662" s="8" t="s">
        <v>24</v>
      </c>
      <c r="G662" s="25">
        <v>30</v>
      </c>
      <c r="H662" s="27" t="str">
        <f>HYPERLINK("https://doc.morningstar.com/Document/529c67dcff3524ece771cdf259605037.msdoc?clientid=fnz&amp;key=9c0e4d166b60ffd3","TMD")</f>
        <v>TMD</v>
      </c>
      <c r="I662" s="8" t="s">
        <v>25</v>
      </c>
      <c r="J662" s="8" t="s">
        <v>26</v>
      </c>
      <c r="K662" s="8" t="s">
        <v>27</v>
      </c>
      <c r="L662" s="8" t="s">
        <v>27</v>
      </c>
      <c r="M662" s="8" t="s">
        <v>26</v>
      </c>
      <c r="N662" s="8" t="s">
        <v>27</v>
      </c>
      <c r="O662" s="8" t="s">
        <v>27</v>
      </c>
      <c r="P662" s="8" t="s">
        <v>26</v>
      </c>
    </row>
    <row r="663" spans="1:16" x14ac:dyDescent="0.25">
      <c r="A663" s="8" t="s">
        <v>1914</v>
      </c>
      <c r="B663" s="8" t="s">
        <v>3189</v>
      </c>
      <c r="C663" s="8" t="s">
        <v>3190</v>
      </c>
      <c r="D663" s="29" t="s">
        <v>1917</v>
      </c>
      <c r="E663" s="8" t="s">
        <v>195</v>
      </c>
      <c r="F663" s="8" t="s">
        <v>24</v>
      </c>
      <c r="G663" s="25"/>
      <c r="H663" s="27" t="str">
        <f>HYPERLINK("https://doc.morningstar.com/Document/77096f57abf75b237b19e1af9a64b835.msdoc?clientid=fnz&amp;key=9c0e4d166b60ffd3","TMD")</f>
        <v>TMD</v>
      </c>
      <c r="I663" s="8" t="s">
        <v>25</v>
      </c>
      <c r="J663" s="8" t="s">
        <v>26</v>
      </c>
      <c r="K663" s="8" t="s">
        <v>27</v>
      </c>
      <c r="L663" s="8" t="s">
        <v>27</v>
      </c>
      <c r="M663" s="8" t="s">
        <v>26</v>
      </c>
      <c r="N663" s="8" t="s">
        <v>26</v>
      </c>
      <c r="O663" s="8" t="s">
        <v>27</v>
      </c>
      <c r="P663" s="8" t="s">
        <v>27</v>
      </c>
    </row>
    <row r="664" spans="1:16" x14ac:dyDescent="0.25">
      <c r="A664" s="8" t="s">
        <v>1914</v>
      </c>
      <c r="B664" s="8" t="s">
        <v>3191</v>
      </c>
      <c r="C664" s="8" t="s">
        <v>3192</v>
      </c>
      <c r="D664" s="29" t="s">
        <v>1917</v>
      </c>
      <c r="E664" s="8" t="s">
        <v>195</v>
      </c>
      <c r="F664" s="8" t="s">
        <v>24</v>
      </c>
      <c r="G664" s="25">
        <v>100</v>
      </c>
      <c r="H664" s="27" t="str">
        <f>HYPERLINK("https://doc.morningstar.com/Document/eb473de5d24c1544773c6d1085431dfc.msdoc?clientid=fnz&amp;key=9c0e4d166b60ffd3","TMD")</f>
        <v>TMD</v>
      </c>
      <c r="I664" s="8" t="s">
        <v>25</v>
      </c>
      <c r="J664" s="8" t="s">
        <v>26</v>
      </c>
      <c r="K664" s="8" t="s">
        <v>27</v>
      </c>
      <c r="L664" s="8" t="s">
        <v>27</v>
      </c>
      <c r="M664" s="8" t="s">
        <v>26</v>
      </c>
      <c r="N664" s="8" t="s">
        <v>27</v>
      </c>
      <c r="O664" s="8" t="s">
        <v>26</v>
      </c>
      <c r="P664" s="8" t="s">
        <v>26</v>
      </c>
    </row>
    <row r="665" spans="1:16" x14ac:dyDescent="0.25">
      <c r="A665" s="8" t="s">
        <v>1914</v>
      </c>
      <c r="B665" s="8" t="s">
        <v>3193</v>
      </c>
      <c r="C665" s="8" t="s">
        <v>3194</v>
      </c>
      <c r="D665" s="29" t="s">
        <v>1917</v>
      </c>
      <c r="E665" s="8" t="s">
        <v>24</v>
      </c>
      <c r="F665" s="8" t="s">
        <v>24</v>
      </c>
      <c r="G665" s="25"/>
      <c r="H665" s="27" t="str">
        <f>HYPERLINK("https://doc.morningstar.com/Document/46c3deee9ecedfd27e82e86789e3e8f9.msdoc?clientid=fnz&amp;key=9c0e4d166b60ffd3","TMD")</f>
        <v>TMD</v>
      </c>
      <c r="I665" s="8" t="s">
        <v>25</v>
      </c>
      <c r="J665" s="8" t="s">
        <v>26</v>
      </c>
      <c r="K665" s="8" t="s">
        <v>27</v>
      </c>
      <c r="L665" s="8" t="s">
        <v>27</v>
      </c>
      <c r="M665" s="8" t="s">
        <v>26</v>
      </c>
      <c r="N665" s="8" t="s">
        <v>26</v>
      </c>
      <c r="O665" s="8" t="s">
        <v>27</v>
      </c>
      <c r="P665" s="8" t="s">
        <v>27</v>
      </c>
    </row>
    <row r="666" spans="1:16" x14ac:dyDescent="0.25">
      <c r="A666" s="8" t="s">
        <v>1914</v>
      </c>
      <c r="B666" s="8" t="s">
        <v>3195</v>
      </c>
      <c r="C666" s="8" t="s">
        <v>3196</v>
      </c>
      <c r="D666" s="29" t="s">
        <v>1917</v>
      </c>
      <c r="E666" s="8" t="s">
        <v>24</v>
      </c>
      <c r="F666" s="8" t="s">
        <v>24</v>
      </c>
      <c r="G666" s="25">
        <v>100</v>
      </c>
      <c r="H666" s="27" t="str">
        <f>HYPERLINK("https://doc.morningstar.com/Document/b1f31695101af244367f3f2de4bffa6d.msdoc?clientid=fnz&amp;key=9c0e4d166b60ffd3","TMD")</f>
        <v>TMD</v>
      </c>
      <c r="I666" s="8" t="s">
        <v>25</v>
      </c>
      <c r="J666" s="8" t="s">
        <v>26</v>
      </c>
      <c r="K666" s="8" t="s">
        <v>27</v>
      </c>
      <c r="L666" s="8" t="s">
        <v>27</v>
      </c>
      <c r="M666" s="8" t="s">
        <v>26</v>
      </c>
      <c r="N666" s="8" t="s">
        <v>26</v>
      </c>
      <c r="O666" s="8" t="s">
        <v>27</v>
      </c>
      <c r="P666" s="8" t="s">
        <v>27</v>
      </c>
    </row>
    <row r="667" spans="1:16" x14ac:dyDescent="0.25">
      <c r="A667" s="8" t="s">
        <v>1914</v>
      </c>
      <c r="B667" s="8" t="s">
        <v>3197</v>
      </c>
      <c r="C667" s="8" t="s">
        <v>3198</v>
      </c>
      <c r="D667" s="29" t="s">
        <v>1917</v>
      </c>
      <c r="E667" s="8" t="s">
        <v>24</v>
      </c>
      <c r="F667" s="8" t="s">
        <v>24</v>
      </c>
      <c r="G667" s="25">
        <v>100</v>
      </c>
      <c r="H667" s="27" t="str">
        <f>HYPERLINK("https://doc.morningstar.com/Document/761d79c05f05ed676366d71dd9cdf1b7.msdoc?clientid=fnz&amp;key=9c0e4d166b60ffd3","TMD")</f>
        <v>TMD</v>
      </c>
      <c r="I667" s="8" t="s">
        <v>25</v>
      </c>
      <c r="J667" s="8" t="s">
        <v>26</v>
      </c>
      <c r="K667" s="8" t="s">
        <v>27</v>
      </c>
      <c r="L667" s="8" t="s">
        <v>27</v>
      </c>
      <c r="M667" s="8" t="s">
        <v>26</v>
      </c>
      <c r="N667" s="8" t="s">
        <v>27</v>
      </c>
      <c r="O667" s="8" t="s">
        <v>27</v>
      </c>
      <c r="P667" s="8" t="s">
        <v>26</v>
      </c>
    </row>
    <row r="668" spans="1:16" x14ac:dyDescent="0.25">
      <c r="A668" s="8" t="s">
        <v>1914</v>
      </c>
      <c r="B668" s="8" t="s">
        <v>3199</v>
      </c>
      <c r="C668" s="8" t="s">
        <v>3200</v>
      </c>
      <c r="D668" s="29" t="s">
        <v>1917</v>
      </c>
      <c r="E668" s="8" t="s">
        <v>24</v>
      </c>
      <c r="F668" s="8" t="s">
        <v>24</v>
      </c>
      <c r="G668" s="25">
        <v>30</v>
      </c>
      <c r="H668" s="27" t="str">
        <f>HYPERLINK("https://doc.morningstar.com/Document/b1f31695101af244c23e43cd3217fcf0.msdoc?clientid=fnz&amp;key=9c0e4d166b60ffd3","TMD")</f>
        <v>TMD</v>
      </c>
      <c r="I668" s="8" t="s">
        <v>25</v>
      </c>
      <c r="J668" s="8" t="s">
        <v>26</v>
      </c>
      <c r="K668" s="8" t="s">
        <v>27</v>
      </c>
      <c r="L668" s="8" t="s">
        <v>27</v>
      </c>
      <c r="M668" s="8" t="s">
        <v>26</v>
      </c>
      <c r="N668" s="8" t="s">
        <v>26</v>
      </c>
      <c r="O668" s="8" t="s">
        <v>27</v>
      </c>
      <c r="P668" s="8" t="s">
        <v>27</v>
      </c>
    </row>
    <row r="669" spans="1:16" x14ac:dyDescent="0.25">
      <c r="A669" s="8" t="s">
        <v>1914</v>
      </c>
      <c r="B669" s="8" t="s">
        <v>3201</v>
      </c>
      <c r="C669" s="8" t="s">
        <v>3202</v>
      </c>
      <c r="D669" s="29" t="s">
        <v>1917</v>
      </c>
      <c r="E669" s="8" t="s">
        <v>24</v>
      </c>
      <c r="F669" s="8" t="s">
        <v>24</v>
      </c>
      <c r="G669" s="25">
        <v>30</v>
      </c>
      <c r="H669" s="27" t="str">
        <f>HYPERLINK("https://doc.morningstar.com/Document/b1f31695101af2445de44eacc5949f62.msdoc?clientid=fnz&amp;key=9c0e4d166b60ffd3","TMD")</f>
        <v>TMD</v>
      </c>
      <c r="I669" s="8" t="s">
        <v>25</v>
      </c>
      <c r="J669" s="8" t="s">
        <v>26</v>
      </c>
      <c r="K669" s="8" t="s">
        <v>27</v>
      </c>
      <c r="L669" s="8" t="s">
        <v>27</v>
      </c>
      <c r="M669" s="8" t="s">
        <v>26</v>
      </c>
      <c r="N669" s="8" t="s">
        <v>26</v>
      </c>
      <c r="O669" s="8" t="s">
        <v>27</v>
      </c>
      <c r="P669" s="8" t="s">
        <v>27</v>
      </c>
    </row>
    <row r="670" spans="1:16" x14ac:dyDescent="0.25">
      <c r="A670" s="8" t="s">
        <v>1914</v>
      </c>
      <c r="B670" s="8" t="s">
        <v>3203</v>
      </c>
      <c r="C670" s="8" t="s">
        <v>3204</v>
      </c>
      <c r="D670" s="29" t="s">
        <v>1917</v>
      </c>
      <c r="E670" s="8" t="s">
        <v>24</v>
      </c>
      <c r="F670" s="8" t="s">
        <v>24</v>
      </c>
      <c r="G670" s="25">
        <v>100</v>
      </c>
      <c r="H670" s="27" t="str">
        <f>HYPERLINK("https://doc.morningstar.com/Document/6620c3d4fe5ee6098fffacdb00330d67.msdoc?clientid=fnz&amp;key=9c0e4d166b60ffd3","TMD")</f>
        <v>TMD</v>
      </c>
      <c r="I670" s="8" t="s">
        <v>25</v>
      </c>
      <c r="J670" s="8" t="s">
        <v>26</v>
      </c>
      <c r="K670" s="8" t="s">
        <v>27</v>
      </c>
      <c r="L670" s="8" t="s">
        <v>27</v>
      </c>
      <c r="M670" s="8" t="s">
        <v>26</v>
      </c>
      <c r="N670" s="8" t="s">
        <v>26</v>
      </c>
      <c r="O670" s="8" t="s">
        <v>27</v>
      </c>
      <c r="P670" s="8" t="s">
        <v>27</v>
      </c>
    </row>
    <row r="671" spans="1:16" x14ac:dyDescent="0.25">
      <c r="A671" s="8" t="s">
        <v>1914</v>
      </c>
      <c r="B671" s="8" t="s">
        <v>3205</v>
      </c>
      <c r="C671" s="8" t="s">
        <v>3206</v>
      </c>
      <c r="D671" s="29" t="s">
        <v>1917</v>
      </c>
      <c r="E671" s="8" t="s">
        <v>24</v>
      </c>
      <c r="F671" s="8" t="s">
        <v>24</v>
      </c>
      <c r="G671" s="25">
        <v>50</v>
      </c>
      <c r="H671" s="27" t="str">
        <f>HYPERLINK("https://doc.morningstar.com/Document/2f4c83929d5202e123dfda44117e8f20.msdoc?clientid=fnz&amp;key=9c0e4d166b60ffd3","TMD")</f>
        <v>TMD</v>
      </c>
      <c r="I671" s="8" t="s">
        <v>25</v>
      </c>
      <c r="J671" s="8" t="s">
        <v>26</v>
      </c>
      <c r="K671" s="8" t="s">
        <v>27</v>
      </c>
      <c r="L671" s="8" t="s">
        <v>27</v>
      </c>
      <c r="M671" s="8" t="s">
        <v>26</v>
      </c>
      <c r="N671" s="8" t="s">
        <v>27</v>
      </c>
      <c r="O671" s="8" t="s">
        <v>27</v>
      </c>
      <c r="P671" s="8" t="s">
        <v>26</v>
      </c>
    </row>
    <row r="672" spans="1:16" x14ac:dyDescent="0.25">
      <c r="A672" s="8" t="s">
        <v>1914</v>
      </c>
      <c r="B672" s="8" t="s">
        <v>3207</v>
      </c>
      <c r="C672" s="8" t="s">
        <v>3208</v>
      </c>
      <c r="D672" s="29" t="s">
        <v>1917</v>
      </c>
      <c r="E672" s="8" t="s">
        <v>24</v>
      </c>
      <c r="F672" s="8" t="s">
        <v>24</v>
      </c>
      <c r="G672" s="25">
        <v>30</v>
      </c>
      <c r="H672" s="27" t="str">
        <f>HYPERLINK("https://doc.morningstar.com/Document/97c8d5acdcc216a62bbfc4e5e674562d.msdoc?clientid=fnz&amp;key=9c0e4d166b60ffd3","TMD")</f>
        <v>TMD</v>
      </c>
      <c r="I672" s="8" t="s">
        <v>25</v>
      </c>
      <c r="J672" s="8" t="s">
        <v>26</v>
      </c>
      <c r="K672" s="8" t="s">
        <v>27</v>
      </c>
      <c r="L672" s="8" t="s">
        <v>27</v>
      </c>
      <c r="M672" s="8" t="s">
        <v>26</v>
      </c>
      <c r="N672" s="8" t="s">
        <v>26</v>
      </c>
      <c r="O672" s="8" t="s">
        <v>27</v>
      </c>
      <c r="P672" s="8" t="s">
        <v>27</v>
      </c>
    </row>
    <row r="673" spans="1:16" x14ac:dyDescent="0.25">
      <c r="A673" s="8" t="s">
        <v>1914</v>
      </c>
      <c r="B673" s="8" t="s">
        <v>3209</v>
      </c>
      <c r="C673" s="8" t="s">
        <v>3210</v>
      </c>
      <c r="D673" s="29" t="s">
        <v>1917</v>
      </c>
      <c r="E673" s="8" t="s">
        <v>24</v>
      </c>
      <c r="F673" s="8" t="s">
        <v>24</v>
      </c>
      <c r="G673" s="25">
        <v>100</v>
      </c>
      <c r="H673" s="27" t="str">
        <f>HYPERLINK("https://doc.morningstar.com/Document/03f758a9d305a1c41601faccd2eddfff.msdoc?clientid=fnz&amp;key=9c0e4d166b60ffd3","TMD")</f>
        <v>TMD</v>
      </c>
      <c r="I673" s="8" t="s">
        <v>25</v>
      </c>
      <c r="J673" s="8" t="s">
        <v>216</v>
      </c>
      <c r="K673" s="8" t="s">
        <v>27</v>
      </c>
      <c r="L673" s="8" t="s">
        <v>27</v>
      </c>
      <c r="M673" s="8" t="s">
        <v>26</v>
      </c>
      <c r="N673" s="8" t="s">
        <v>27</v>
      </c>
      <c r="O673" s="8" t="s">
        <v>26</v>
      </c>
      <c r="P673" s="8" t="s">
        <v>26</v>
      </c>
    </row>
    <row r="674" spans="1:16" x14ac:dyDescent="0.25">
      <c r="A674" s="8" t="s">
        <v>1914</v>
      </c>
      <c r="B674" s="8" t="s">
        <v>3211</v>
      </c>
      <c r="C674" s="8" t="s">
        <v>3212</v>
      </c>
      <c r="D674" s="29" t="s">
        <v>1917</v>
      </c>
      <c r="E674" s="8" t="s">
        <v>24</v>
      </c>
      <c r="F674" s="8" t="s">
        <v>24</v>
      </c>
      <c r="G674" s="25"/>
      <c r="H674" s="27" t="str">
        <f>HYPERLINK("https://doc.morningstar.com/Document/761d79c05f05ed6778f46713c2c14cb1.msdoc?clientid=fnz&amp;key=9c0e4d166b60ffd3","TMD")</f>
        <v>TMD</v>
      </c>
      <c r="I674" s="8" t="s">
        <v>25</v>
      </c>
      <c r="J674" s="8" t="s">
        <v>26</v>
      </c>
      <c r="K674" s="8" t="s">
        <v>27</v>
      </c>
      <c r="L674" s="8" t="s">
        <v>27</v>
      </c>
      <c r="M674" s="8" t="s">
        <v>26</v>
      </c>
      <c r="N674" s="8" t="s">
        <v>27</v>
      </c>
      <c r="O674" s="8" t="s">
        <v>26</v>
      </c>
      <c r="P674" s="8" t="s">
        <v>26</v>
      </c>
    </row>
    <row r="675" spans="1:16" x14ac:dyDescent="0.25">
      <c r="A675" s="8" t="s">
        <v>1914</v>
      </c>
      <c r="B675" s="8" t="s">
        <v>3213</v>
      </c>
      <c r="C675" s="8" t="s">
        <v>3214</v>
      </c>
      <c r="D675" s="29" t="s">
        <v>1917</v>
      </c>
      <c r="E675" s="8" t="s">
        <v>24</v>
      </c>
      <c r="F675" s="8" t="s">
        <v>24</v>
      </c>
      <c r="G675" s="25">
        <v>100</v>
      </c>
      <c r="H675" s="27" t="str">
        <f>HYPERLINK("https://doc.morningstar.com/Document/77096f57abf75b230585f96fea51943a.msdoc?clientid=fnz&amp;key=9c0e4d166b60ffd3","TMD")</f>
        <v>TMD</v>
      </c>
      <c r="I675" s="8" t="s">
        <v>25</v>
      </c>
      <c r="J675" s="8" t="s">
        <v>26</v>
      </c>
      <c r="K675" s="8" t="s">
        <v>27</v>
      </c>
      <c r="L675" s="8" t="s">
        <v>27</v>
      </c>
      <c r="M675" s="8" t="s">
        <v>26</v>
      </c>
      <c r="N675" s="8" t="s">
        <v>27</v>
      </c>
      <c r="O675" s="8" t="s">
        <v>27</v>
      </c>
      <c r="P675" s="8" t="s">
        <v>26</v>
      </c>
    </row>
    <row r="676" spans="1:16" x14ac:dyDescent="0.25">
      <c r="A676" s="8" t="s">
        <v>1914</v>
      </c>
      <c r="B676" s="8" t="s">
        <v>3215</v>
      </c>
      <c r="C676" s="8" t="s">
        <v>3216</v>
      </c>
      <c r="D676" s="29" t="s">
        <v>1917</v>
      </c>
      <c r="E676" s="8" t="s">
        <v>24</v>
      </c>
      <c r="F676" s="8" t="s">
        <v>24</v>
      </c>
      <c r="G676" s="25"/>
      <c r="H676" s="27" t="str">
        <f>HYPERLINK("https://doc.morningstar.com/Document/07bba4d2e179df2e66d7136f2d005c6b.msdoc?clientid=fnz&amp;key=9c0e4d166b60ffd3","TMD")</f>
        <v>TMD</v>
      </c>
      <c r="I676" s="8" t="s">
        <v>25</v>
      </c>
      <c r="J676" s="8" t="s">
        <v>27</v>
      </c>
      <c r="K676" s="8" t="s">
        <v>27</v>
      </c>
      <c r="L676" s="8" t="s">
        <v>27</v>
      </c>
      <c r="M676" s="8" t="s">
        <v>27</v>
      </c>
      <c r="N676" s="8" t="s">
        <v>26</v>
      </c>
      <c r="O676" s="8" t="s">
        <v>26</v>
      </c>
      <c r="P676" s="8" t="s">
        <v>26</v>
      </c>
    </row>
    <row r="677" spans="1:16" x14ac:dyDescent="0.25">
      <c r="A677" s="8" t="s">
        <v>1874</v>
      </c>
      <c r="B677" s="8" t="s">
        <v>3217</v>
      </c>
      <c r="C677" s="8" t="s">
        <v>3218</v>
      </c>
      <c r="D677" s="29" t="s">
        <v>1877</v>
      </c>
      <c r="E677" s="8" t="s">
        <v>195</v>
      </c>
      <c r="F677" s="8" t="s">
        <v>24</v>
      </c>
      <c r="G677" s="25"/>
      <c r="H677" s="27"/>
      <c r="I677" s="8"/>
      <c r="J677" s="8"/>
      <c r="K677" s="8"/>
      <c r="L677" s="8"/>
      <c r="M677" s="8"/>
      <c r="N677" s="8"/>
      <c r="O677" s="8"/>
      <c r="P677" s="8"/>
    </row>
    <row r="678" spans="1:16" ht="15" customHeight="1" x14ac:dyDescent="0.25">
      <c r="A678" s="8" t="s">
        <v>1874</v>
      </c>
      <c r="B678" s="8" t="s">
        <v>3219</v>
      </c>
      <c r="C678" s="8" t="s">
        <v>3220</v>
      </c>
      <c r="D678" s="29" t="s">
        <v>1894</v>
      </c>
      <c r="E678" s="8" t="s">
        <v>24</v>
      </c>
      <c r="F678" s="8" t="s">
        <v>24</v>
      </c>
      <c r="G678" s="25"/>
      <c r="H678" s="27"/>
      <c r="I678" s="8"/>
      <c r="J678" s="8"/>
      <c r="K678" s="8"/>
      <c r="L678" s="8"/>
      <c r="M678" s="8"/>
      <c r="N678" s="8"/>
      <c r="O678" s="8"/>
      <c r="P678" s="8"/>
    </row>
    <row r="679" spans="1:16" x14ac:dyDescent="0.25">
      <c r="A679" s="8" t="s">
        <v>1874</v>
      </c>
      <c r="B679" s="8" t="s">
        <v>3221</v>
      </c>
      <c r="C679" s="8" t="s">
        <v>3222</v>
      </c>
      <c r="D679" s="29" t="s">
        <v>1877</v>
      </c>
      <c r="E679" s="8" t="s">
        <v>195</v>
      </c>
      <c r="F679" s="8" t="s">
        <v>24</v>
      </c>
      <c r="G679" s="25"/>
      <c r="H679" s="27"/>
      <c r="I679" s="8"/>
      <c r="J679" s="8"/>
      <c r="K679" s="8"/>
      <c r="L679" s="8"/>
      <c r="M679" s="8"/>
      <c r="N679" s="8"/>
      <c r="O679" s="8"/>
      <c r="P679" s="8"/>
    </row>
    <row r="680" spans="1:16" ht="30" x14ac:dyDescent="0.25">
      <c r="A680" s="8" t="s">
        <v>1914</v>
      </c>
      <c r="B680" s="8" t="s">
        <v>3223</v>
      </c>
      <c r="C680" s="8" t="s">
        <v>3224</v>
      </c>
      <c r="D680" s="29" t="s">
        <v>1917</v>
      </c>
      <c r="E680" s="8" t="s">
        <v>195</v>
      </c>
      <c r="F680" s="8" t="s">
        <v>24</v>
      </c>
      <c r="G680" s="25"/>
      <c r="H680" s="27" t="str">
        <f>HYPERLINK("https://doc.morningstar.com/Document/22e84fb80776f2d386db0387beabe5ec.msdoc?clientid=fnz&amp;key=9c0e4d166b60ffd3","TMD")</f>
        <v>TMD</v>
      </c>
      <c r="I680" s="8" t="s">
        <v>25</v>
      </c>
      <c r="J680" s="8" t="s">
        <v>25</v>
      </c>
      <c r="K680" s="8" t="s">
        <v>25</v>
      </c>
      <c r="L680" s="8" t="s">
        <v>25</v>
      </c>
      <c r="M680" s="8" t="s">
        <v>26</v>
      </c>
      <c r="N680" s="8" t="s">
        <v>27</v>
      </c>
      <c r="O680" s="8" t="s">
        <v>27</v>
      </c>
      <c r="P680" s="8" t="s">
        <v>26</v>
      </c>
    </row>
    <row r="681" spans="1:16" x14ac:dyDescent="0.25">
      <c r="A681" s="8" t="s">
        <v>1874</v>
      </c>
      <c r="B681" s="8" t="s">
        <v>3225</v>
      </c>
      <c r="C681" s="8" t="s">
        <v>3226</v>
      </c>
      <c r="D681" s="29" t="s">
        <v>1877</v>
      </c>
      <c r="E681" s="8" t="s">
        <v>24</v>
      </c>
      <c r="F681" s="8" t="s">
        <v>24</v>
      </c>
      <c r="G681" s="25"/>
      <c r="H681" s="27"/>
      <c r="I681" s="8"/>
      <c r="J681" s="8"/>
      <c r="K681" s="8"/>
      <c r="L681" s="8"/>
      <c r="M681" s="8"/>
      <c r="N681" s="8"/>
      <c r="O681" s="8"/>
      <c r="P681" s="8"/>
    </row>
    <row r="682" spans="1:16" x14ac:dyDescent="0.25">
      <c r="A682" s="8" t="s">
        <v>1874</v>
      </c>
      <c r="B682" s="8" t="s">
        <v>3227</v>
      </c>
      <c r="C682" s="8" t="s">
        <v>3228</v>
      </c>
      <c r="D682" s="29" t="s">
        <v>1877</v>
      </c>
      <c r="E682" s="8" t="s">
        <v>24</v>
      </c>
      <c r="F682" s="8" t="s">
        <v>24</v>
      </c>
      <c r="G682" s="25"/>
      <c r="H682" s="27"/>
      <c r="I682" s="8"/>
      <c r="J682" s="8"/>
      <c r="K682" s="8"/>
      <c r="L682" s="8"/>
      <c r="M682" s="8"/>
      <c r="N682" s="8"/>
      <c r="O682" s="8"/>
      <c r="P682" s="8"/>
    </row>
    <row r="683" spans="1:16" x14ac:dyDescent="0.25">
      <c r="A683" s="8" t="s">
        <v>1874</v>
      </c>
      <c r="B683" s="8" t="s">
        <v>3229</v>
      </c>
      <c r="C683" s="8" t="s">
        <v>3230</v>
      </c>
      <c r="D683" s="29" t="s">
        <v>1877</v>
      </c>
      <c r="E683" s="8" t="s">
        <v>195</v>
      </c>
      <c r="F683" s="8" t="s">
        <v>24</v>
      </c>
      <c r="G683" s="25"/>
      <c r="H683" s="27"/>
      <c r="I683" s="8"/>
      <c r="J683" s="8"/>
      <c r="K683" s="8"/>
      <c r="L683" s="8"/>
      <c r="M683" s="8"/>
      <c r="N683" s="8"/>
      <c r="O683" s="8"/>
      <c r="P683" s="8"/>
    </row>
    <row r="684" spans="1:16" x14ac:dyDescent="0.25">
      <c r="A684" s="8" t="s">
        <v>1914</v>
      </c>
      <c r="B684" s="8" t="s">
        <v>3231</v>
      </c>
      <c r="C684" s="8" t="s">
        <v>3232</v>
      </c>
      <c r="D684" s="29" t="s">
        <v>1917</v>
      </c>
      <c r="E684" s="8" t="s">
        <v>195</v>
      </c>
      <c r="F684" s="8" t="s">
        <v>24</v>
      </c>
      <c r="G684" s="25"/>
      <c r="H684" s="27" t="str">
        <f>HYPERLINK("https://doc.morningstar.com/Document/32724b1c88f33266acad49e44c913b76.msdoc?clientid=fnz&amp;key=9c0e4d166b60ffd3","TMD")</f>
        <v>TMD</v>
      </c>
      <c r="I684" s="8" t="s">
        <v>25</v>
      </c>
      <c r="J684" s="8" t="s">
        <v>25</v>
      </c>
      <c r="K684" s="8" t="s">
        <v>25</v>
      </c>
      <c r="L684" s="8" t="s">
        <v>25</v>
      </c>
      <c r="M684" s="8" t="s">
        <v>26</v>
      </c>
      <c r="N684" s="8" t="s">
        <v>26</v>
      </c>
      <c r="O684" s="8" t="s">
        <v>27</v>
      </c>
      <c r="P684" s="8" t="s">
        <v>26</v>
      </c>
    </row>
    <row r="685" spans="1:16" ht="15" customHeight="1" x14ac:dyDescent="0.25">
      <c r="A685" s="8" t="s">
        <v>1914</v>
      </c>
      <c r="B685" s="8" t="s">
        <v>3233</v>
      </c>
      <c r="C685" s="8" t="s">
        <v>3234</v>
      </c>
      <c r="D685" s="29" t="s">
        <v>1917</v>
      </c>
      <c r="E685" s="8" t="s">
        <v>24</v>
      </c>
      <c r="F685" s="8" t="s">
        <v>24</v>
      </c>
      <c r="G685" s="25">
        <v>100</v>
      </c>
      <c r="H685" s="27" t="str">
        <f>HYPERLINK("https://doc.morningstar.com/Document/ce0ba46fca198d2c1b88edaa63205b1d.msdoc?clientid=fnz&amp;key=9c0e4d166b60ffd3","TMD")</f>
        <v>TMD</v>
      </c>
      <c r="I685" s="8" t="s">
        <v>25</v>
      </c>
      <c r="J685" s="8" t="s">
        <v>25</v>
      </c>
      <c r="K685" s="8" t="s">
        <v>25</v>
      </c>
      <c r="L685" s="8" t="s">
        <v>25</v>
      </c>
      <c r="M685" s="8" t="s">
        <v>26</v>
      </c>
      <c r="N685" s="8" t="s">
        <v>26</v>
      </c>
      <c r="O685" s="8" t="s">
        <v>27</v>
      </c>
      <c r="P685" s="8" t="s">
        <v>26</v>
      </c>
    </row>
    <row r="686" spans="1:16" ht="15" customHeight="1" x14ac:dyDescent="0.25">
      <c r="A686" s="8" t="s">
        <v>1914</v>
      </c>
      <c r="B686" s="8" t="s">
        <v>3235</v>
      </c>
      <c r="C686" s="8" t="s">
        <v>3236</v>
      </c>
      <c r="D686" s="29" t="s">
        <v>1917</v>
      </c>
      <c r="E686" s="8" t="s">
        <v>195</v>
      </c>
      <c r="F686" s="8" t="s">
        <v>24</v>
      </c>
      <c r="G686" s="25"/>
      <c r="H686" s="27" t="str">
        <f>HYPERLINK("https://doc.morningstar.com/Document/b3fd1f4b0d3197576e539ef1dcfc1bc2.msdoc?clientid=fnz&amp;key=9c0e4d166b60ffd3","TMD")</f>
        <v>TMD</v>
      </c>
      <c r="I686" s="8" t="s">
        <v>25</v>
      </c>
      <c r="J686" s="8" t="s">
        <v>25</v>
      </c>
      <c r="K686" s="8" t="s">
        <v>25</v>
      </c>
      <c r="L686" s="8" t="s">
        <v>25</v>
      </c>
      <c r="M686" s="8" t="s">
        <v>26</v>
      </c>
      <c r="N686" s="8" t="s">
        <v>26</v>
      </c>
      <c r="O686" s="8" t="s">
        <v>26</v>
      </c>
      <c r="P686" s="8" t="s">
        <v>27</v>
      </c>
    </row>
    <row r="687" spans="1:16" ht="30" x14ac:dyDescent="0.25">
      <c r="A687" s="8" t="s">
        <v>1914</v>
      </c>
      <c r="B687" s="8" t="s">
        <v>3237</v>
      </c>
      <c r="C687" s="8" t="s">
        <v>3238</v>
      </c>
      <c r="D687" s="29" t="s">
        <v>1917</v>
      </c>
      <c r="E687" s="8" t="s">
        <v>195</v>
      </c>
      <c r="F687" s="8" t="s">
        <v>24</v>
      </c>
      <c r="G687" s="25"/>
      <c r="H687" s="27" t="str">
        <f>HYPERLINK("https://doc.morningstar.com/Document/f9e3f9c6a3a15709713832142e20eada.msdoc?clientid=fnz&amp;key=9c0e4d166b60ffd3","TMD")</f>
        <v>TMD</v>
      </c>
      <c r="I687" s="8" t="s">
        <v>25</v>
      </c>
      <c r="J687" s="8" t="s">
        <v>25</v>
      </c>
      <c r="K687" s="8" t="s">
        <v>25</v>
      </c>
      <c r="L687" s="8" t="s">
        <v>25</v>
      </c>
      <c r="M687" s="8" t="s">
        <v>26</v>
      </c>
      <c r="N687" s="8" t="s">
        <v>27</v>
      </c>
      <c r="O687" s="8" t="s">
        <v>26</v>
      </c>
      <c r="P687" s="8" t="s">
        <v>26</v>
      </c>
    </row>
    <row r="688" spans="1:16" x14ac:dyDescent="0.25">
      <c r="A688" s="8" t="s">
        <v>1914</v>
      </c>
      <c r="B688" s="8" t="s">
        <v>3239</v>
      </c>
      <c r="C688" s="8" t="s">
        <v>3240</v>
      </c>
      <c r="D688" s="29" t="s">
        <v>1917</v>
      </c>
      <c r="E688" s="8" t="s">
        <v>24</v>
      </c>
      <c r="F688" s="8" t="s">
        <v>24</v>
      </c>
      <c r="G688" s="25">
        <v>100</v>
      </c>
      <c r="H688" s="27" t="str">
        <f>HYPERLINK("https://doc.morningstar.com/Document/760aed2c9ff52cda50e445c93fca03e4.msdoc?clientid=fnz&amp;key=9c0e4d166b60ffd3","TMD")</f>
        <v>TMD</v>
      </c>
      <c r="I688" s="8" t="s">
        <v>25</v>
      </c>
      <c r="J688" s="8" t="s">
        <v>25</v>
      </c>
      <c r="K688" s="8" t="s">
        <v>25</v>
      </c>
      <c r="L688" s="8" t="s">
        <v>25</v>
      </c>
      <c r="M688" s="8" t="s">
        <v>26</v>
      </c>
      <c r="N688" s="8" t="s">
        <v>26</v>
      </c>
      <c r="O688" s="8" t="s">
        <v>27</v>
      </c>
      <c r="P688" s="8" t="s">
        <v>26</v>
      </c>
    </row>
    <row r="689" spans="1:16" x14ac:dyDescent="0.25">
      <c r="A689" s="8" t="s">
        <v>1914</v>
      </c>
      <c r="B689" s="8" t="s">
        <v>3241</v>
      </c>
      <c r="C689" s="8" t="s">
        <v>3242</v>
      </c>
      <c r="D689" s="29" t="s">
        <v>1917</v>
      </c>
      <c r="E689" s="8" t="s">
        <v>195</v>
      </c>
      <c r="F689" s="8" t="s">
        <v>24</v>
      </c>
      <c r="G689" s="25"/>
      <c r="H689" s="27" t="str">
        <f>HYPERLINK("https://doc.morningstar.com/Document/52d5dc913fcf9c0cec61faa5cc47d608.msdoc?clientid=fnz&amp;key=9c0e4d166b60ffd3","TMD")</f>
        <v>TMD</v>
      </c>
      <c r="I689" s="8" t="s">
        <v>25</v>
      </c>
      <c r="J689" s="8" t="s">
        <v>25</v>
      </c>
      <c r="K689" s="8" t="s">
        <v>25</v>
      </c>
      <c r="L689" s="8" t="s">
        <v>25</v>
      </c>
      <c r="M689" s="8" t="s">
        <v>26</v>
      </c>
      <c r="N689" s="8" t="s">
        <v>26</v>
      </c>
      <c r="O689" s="8" t="s">
        <v>27</v>
      </c>
      <c r="P689" s="8" t="s">
        <v>26</v>
      </c>
    </row>
    <row r="690" spans="1:16" x14ac:dyDescent="0.25">
      <c r="A690" s="8" t="s">
        <v>1914</v>
      </c>
      <c r="B690" s="8" t="s">
        <v>3243</v>
      </c>
      <c r="C690" s="8" t="s">
        <v>3244</v>
      </c>
      <c r="D690" s="29" t="s">
        <v>1917</v>
      </c>
      <c r="E690" s="8" t="s">
        <v>24</v>
      </c>
      <c r="F690" s="8" t="s">
        <v>24</v>
      </c>
      <c r="G690" s="25">
        <v>100</v>
      </c>
      <c r="H690" s="27" t="str">
        <f>HYPERLINK("https://doc.morningstar.com/Document/52d5dc913fcf9c0cb145a5e232a1c279.msdoc?clientid=fnz&amp;key=9c0e4d166b60ffd3","TMD")</f>
        <v>TMD</v>
      </c>
      <c r="I690" s="8" t="s">
        <v>25</v>
      </c>
      <c r="J690" s="8" t="s">
        <v>25</v>
      </c>
      <c r="K690" s="8" t="s">
        <v>25</v>
      </c>
      <c r="L690" s="8" t="s">
        <v>25</v>
      </c>
      <c r="M690" s="8" t="s">
        <v>26</v>
      </c>
      <c r="N690" s="8" t="s">
        <v>26</v>
      </c>
      <c r="O690" s="8" t="s">
        <v>27</v>
      </c>
      <c r="P690" s="8" t="s">
        <v>26</v>
      </c>
    </row>
    <row r="691" spans="1:16" x14ac:dyDescent="0.25">
      <c r="A691" s="8" t="s">
        <v>1874</v>
      </c>
      <c r="B691" s="8" t="s">
        <v>3245</v>
      </c>
      <c r="C691" s="8" t="s">
        <v>3246</v>
      </c>
      <c r="D691" s="29" t="s">
        <v>2228</v>
      </c>
      <c r="E691" s="8" t="s">
        <v>195</v>
      </c>
      <c r="F691" s="8" t="s">
        <v>24</v>
      </c>
      <c r="G691" s="25"/>
      <c r="H691" s="27"/>
      <c r="I691" s="8"/>
      <c r="J691" s="8"/>
      <c r="K691" s="8"/>
      <c r="L691" s="8"/>
      <c r="M691" s="8"/>
      <c r="N691" s="8"/>
      <c r="O691" s="8"/>
      <c r="P691" s="8"/>
    </row>
    <row r="692" spans="1:16" x14ac:dyDescent="0.25">
      <c r="A692" s="8" t="s">
        <v>1874</v>
      </c>
      <c r="B692" s="8" t="s">
        <v>3247</v>
      </c>
      <c r="C692" s="8" t="s">
        <v>3248</v>
      </c>
      <c r="D692" s="29" t="s">
        <v>1877</v>
      </c>
      <c r="E692" s="8" t="s">
        <v>24</v>
      </c>
      <c r="F692" s="8" t="s">
        <v>24</v>
      </c>
      <c r="G692" s="25"/>
      <c r="H692" s="27"/>
      <c r="I692" s="8"/>
      <c r="J692" s="8"/>
      <c r="K692" s="8"/>
      <c r="L692" s="8"/>
      <c r="M692" s="8"/>
      <c r="N692" s="8"/>
      <c r="O692" s="8"/>
      <c r="P692" s="8"/>
    </row>
    <row r="693" spans="1:16" x14ac:dyDescent="0.25">
      <c r="A693" s="8" t="s">
        <v>1874</v>
      </c>
      <c r="B693" s="8" t="s">
        <v>3249</v>
      </c>
      <c r="C693" s="8" t="s">
        <v>3250</v>
      </c>
      <c r="D693" s="29" t="s">
        <v>1877</v>
      </c>
      <c r="E693" s="8" t="s">
        <v>24</v>
      </c>
      <c r="F693" s="8" t="s">
        <v>24</v>
      </c>
      <c r="G693" s="25"/>
      <c r="H693" s="27"/>
      <c r="I693" s="8"/>
      <c r="J693" s="8"/>
      <c r="K693" s="8"/>
      <c r="L693" s="8"/>
      <c r="M693" s="8"/>
      <c r="N693" s="8"/>
      <c r="O693" s="8"/>
      <c r="P693" s="8"/>
    </row>
    <row r="694" spans="1:16" x14ac:dyDescent="0.25">
      <c r="A694" s="8" t="s">
        <v>1874</v>
      </c>
      <c r="B694" s="8" t="s">
        <v>3251</v>
      </c>
      <c r="C694" s="8" t="s">
        <v>3252</v>
      </c>
      <c r="D694" s="29" t="s">
        <v>1877</v>
      </c>
      <c r="E694" s="8" t="s">
        <v>195</v>
      </c>
      <c r="F694" s="8" t="s">
        <v>24</v>
      </c>
      <c r="G694" s="25"/>
      <c r="H694" s="27"/>
      <c r="I694" s="8"/>
      <c r="J694" s="8"/>
      <c r="K694" s="8"/>
      <c r="L694" s="8"/>
      <c r="M694" s="8"/>
      <c r="N694" s="8"/>
      <c r="O694" s="8"/>
      <c r="P694" s="8"/>
    </row>
    <row r="695" spans="1:16" x14ac:dyDescent="0.25">
      <c r="A695" s="8" t="s">
        <v>1874</v>
      </c>
      <c r="B695" s="8" t="s">
        <v>3253</v>
      </c>
      <c r="C695" s="8" t="s">
        <v>3254</v>
      </c>
      <c r="D695" s="29" t="s">
        <v>1877</v>
      </c>
      <c r="E695" s="8" t="s">
        <v>195</v>
      </c>
      <c r="F695" s="8" t="s">
        <v>24</v>
      </c>
      <c r="G695" s="25"/>
      <c r="H695" s="27"/>
      <c r="I695" s="8"/>
      <c r="J695" s="8"/>
      <c r="K695" s="8"/>
      <c r="L695" s="8"/>
      <c r="M695" s="8"/>
      <c r="N695" s="8"/>
      <c r="O695" s="8"/>
      <c r="P695" s="8"/>
    </row>
    <row r="696" spans="1:16" x14ac:dyDescent="0.25">
      <c r="A696" s="8" t="s">
        <v>1874</v>
      </c>
      <c r="B696" s="8" t="s">
        <v>3255</v>
      </c>
      <c r="C696" s="8" t="s">
        <v>3256</v>
      </c>
      <c r="D696" s="29" t="s">
        <v>1877</v>
      </c>
      <c r="E696" s="8" t="s">
        <v>195</v>
      </c>
      <c r="F696" s="8" t="s">
        <v>24</v>
      </c>
      <c r="G696" s="25"/>
      <c r="H696" s="27"/>
      <c r="I696" s="8"/>
      <c r="J696" s="8"/>
      <c r="K696" s="8"/>
      <c r="L696" s="8"/>
      <c r="M696" s="8"/>
      <c r="N696" s="8"/>
      <c r="O696" s="8"/>
      <c r="P696" s="8"/>
    </row>
    <row r="697" spans="1:16" x14ac:dyDescent="0.25">
      <c r="A697" s="8" t="s">
        <v>1874</v>
      </c>
      <c r="B697" s="8" t="s">
        <v>3257</v>
      </c>
      <c r="C697" s="8" t="s">
        <v>3258</v>
      </c>
      <c r="D697" s="29" t="s">
        <v>1877</v>
      </c>
      <c r="E697" s="8" t="s">
        <v>195</v>
      </c>
      <c r="F697" s="8" t="s">
        <v>24</v>
      </c>
      <c r="G697" s="25"/>
      <c r="H697" s="27"/>
      <c r="I697" s="8"/>
      <c r="J697" s="8"/>
      <c r="K697" s="8"/>
      <c r="L697" s="8"/>
      <c r="M697" s="8"/>
      <c r="N697" s="8"/>
      <c r="O697" s="8"/>
      <c r="P697" s="8"/>
    </row>
    <row r="698" spans="1:16" x14ac:dyDescent="0.25">
      <c r="A698" s="8" t="s">
        <v>1874</v>
      </c>
      <c r="B698" s="8" t="s">
        <v>3259</v>
      </c>
      <c r="C698" s="8" t="s">
        <v>3260</v>
      </c>
      <c r="D698" s="29" t="s">
        <v>1877</v>
      </c>
      <c r="E698" s="8" t="s">
        <v>195</v>
      </c>
      <c r="F698" s="8" t="s">
        <v>24</v>
      </c>
      <c r="G698" s="25"/>
      <c r="H698" s="27"/>
      <c r="I698" s="8"/>
      <c r="J698" s="8"/>
      <c r="K698" s="8"/>
      <c r="L698" s="8"/>
      <c r="M698" s="8"/>
      <c r="N698" s="8"/>
      <c r="O698" s="8"/>
      <c r="P698" s="8"/>
    </row>
    <row r="699" spans="1:16" x14ac:dyDescent="0.25">
      <c r="A699" s="8" t="s">
        <v>1874</v>
      </c>
      <c r="B699" s="8" t="s">
        <v>3261</v>
      </c>
      <c r="C699" s="8" t="s">
        <v>3262</v>
      </c>
      <c r="D699" s="29" t="s">
        <v>1877</v>
      </c>
      <c r="E699" s="8" t="s">
        <v>24</v>
      </c>
      <c r="F699" s="8" t="s">
        <v>24</v>
      </c>
      <c r="G699" s="25"/>
      <c r="H699" s="27"/>
      <c r="I699" s="8"/>
      <c r="J699" s="8"/>
      <c r="K699" s="8"/>
      <c r="L699" s="8"/>
      <c r="M699" s="8"/>
      <c r="N699" s="8"/>
      <c r="O699" s="8"/>
      <c r="P699" s="8"/>
    </row>
    <row r="700" spans="1:16" x14ac:dyDescent="0.25">
      <c r="A700" s="8" t="s">
        <v>1874</v>
      </c>
      <c r="B700" s="8" t="s">
        <v>3263</v>
      </c>
      <c r="C700" s="8" t="s">
        <v>3264</v>
      </c>
      <c r="D700" s="29" t="s">
        <v>1877</v>
      </c>
      <c r="E700" s="8" t="s">
        <v>195</v>
      </c>
      <c r="F700" s="8" t="s">
        <v>24</v>
      </c>
      <c r="G700" s="25"/>
      <c r="H700" s="27"/>
      <c r="I700" s="8"/>
      <c r="J700" s="8"/>
      <c r="K700" s="8"/>
      <c r="L700" s="8"/>
      <c r="M700" s="8"/>
      <c r="N700" s="8"/>
      <c r="O700" s="8"/>
      <c r="P700" s="8"/>
    </row>
    <row r="701" spans="1:16" x14ac:dyDescent="0.25">
      <c r="A701" s="8" t="s">
        <v>1874</v>
      </c>
      <c r="B701" s="8" t="s">
        <v>3265</v>
      </c>
      <c r="C701" s="8" t="s">
        <v>3266</v>
      </c>
      <c r="D701" s="29" t="s">
        <v>1877</v>
      </c>
      <c r="E701" s="8" t="s">
        <v>24</v>
      </c>
      <c r="F701" s="8" t="s">
        <v>24</v>
      </c>
      <c r="G701" s="25"/>
      <c r="H701" s="27"/>
      <c r="I701" s="8"/>
      <c r="J701" s="8"/>
      <c r="K701" s="8"/>
      <c r="L701" s="8"/>
      <c r="M701" s="8"/>
      <c r="N701" s="8"/>
      <c r="O701" s="8"/>
      <c r="P701" s="8"/>
    </row>
    <row r="702" spans="1:16" x14ac:dyDescent="0.25">
      <c r="A702" s="8" t="s">
        <v>1874</v>
      </c>
      <c r="B702" s="8" t="s">
        <v>3267</v>
      </c>
      <c r="C702" s="8" t="s">
        <v>3268</v>
      </c>
      <c r="D702" s="29" t="s">
        <v>1877</v>
      </c>
      <c r="E702" s="8" t="s">
        <v>24</v>
      </c>
      <c r="F702" s="8" t="s">
        <v>24</v>
      </c>
      <c r="G702" s="25">
        <v>5</v>
      </c>
      <c r="H702" s="27"/>
      <c r="I702" s="8"/>
      <c r="J702" s="8"/>
      <c r="K702" s="8"/>
      <c r="L702" s="8"/>
      <c r="M702" s="8"/>
      <c r="N702" s="8"/>
      <c r="O702" s="8"/>
      <c r="P702" s="8"/>
    </row>
    <row r="703" spans="1:16" x14ac:dyDescent="0.25">
      <c r="A703" s="8" t="s">
        <v>1874</v>
      </c>
      <c r="B703" s="8" t="s">
        <v>3269</v>
      </c>
      <c r="C703" s="8" t="s">
        <v>3270</v>
      </c>
      <c r="D703" s="29" t="s">
        <v>1894</v>
      </c>
      <c r="E703" s="8" t="s">
        <v>195</v>
      </c>
      <c r="F703" s="8" t="s">
        <v>24</v>
      </c>
      <c r="G703" s="25"/>
      <c r="H703" s="27"/>
      <c r="I703" s="8"/>
      <c r="J703" s="8"/>
      <c r="K703" s="8"/>
      <c r="L703" s="8"/>
      <c r="M703" s="8"/>
      <c r="N703" s="8"/>
      <c r="O703" s="8"/>
      <c r="P703" s="8"/>
    </row>
    <row r="704" spans="1:16" x14ac:dyDescent="0.25">
      <c r="A704" s="8" t="s">
        <v>1874</v>
      </c>
      <c r="B704" s="8" t="s">
        <v>3271</v>
      </c>
      <c r="C704" s="8" t="s">
        <v>3272</v>
      </c>
      <c r="D704" s="29" t="s">
        <v>1877</v>
      </c>
      <c r="E704" s="8" t="s">
        <v>195</v>
      </c>
      <c r="F704" s="8" t="s">
        <v>24</v>
      </c>
      <c r="G704" s="25"/>
      <c r="H704" s="27"/>
      <c r="I704" s="8"/>
      <c r="J704" s="8"/>
      <c r="K704" s="8"/>
      <c r="L704" s="8"/>
      <c r="M704" s="8"/>
      <c r="N704" s="8"/>
      <c r="O704" s="8"/>
      <c r="P704" s="8"/>
    </row>
    <row r="705" spans="1:16" x14ac:dyDescent="0.25">
      <c r="A705" s="8" t="s">
        <v>1874</v>
      </c>
      <c r="B705" s="8" t="s">
        <v>3273</v>
      </c>
      <c r="C705" s="8" t="s">
        <v>3274</v>
      </c>
      <c r="D705" s="29" t="s">
        <v>1877</v>
      </c>
      <c r="E705" s="8" t="s">
        <v>195</v>
      </c>
      <c r="F705" s="8" t="s">
        <v>24</v>
      </c>
      <c r="G705" s="25"/>
      <c r="H705" s="27"/>
      <c r="I705" s="8"/>
      <c r="J705" s="8"/>
      <c r="K705" s="8"/>
      <c r="L705" s="8"/>
      <c r="M705" s="8"/>
      <c r="N705" s="8"/>
      <c r="O705" s="8"/>
      <c r="P705" s="8"/>
    </row>
    <row r="706" spans="1:16" x14ac:dyDescent="0.25">
      <c r="A706" s="8" t="s">
        <v>1874</v>
      </c>
      <c r="B706" s="8" t="s">
        <v>3275</v>
      </c>
      <c r="C706" s="8" t="s">
        <v>3276</v>
      </c>
      <c r="D706" s="29" t="s">
        <v>1877</v>
      </c>
      <c r="E706" s="8" t="s">
        <v>195</v>
      </c>
      <c r="F706" s="8" t="s">
        <v>24</v>
      </c>
      <c r="G706" s="25"/>
      <c r="H706" s="27"/>
      <c r="I706" s="8"/>
      <c r="J706" s="8"/>
      <c r="K706" s="8"/>
      <c r="L706" s="8"/>
      <c r="M706" s="8"/>
      <c r="N706" s="8"/>
      <c r="O706" s="8"/>
      <c r="P706" s="8"/>
    </row>
    <row r="707" spans="1:16" x14ac:dyDescent="0.25">
      <c r="A707" s="8" t="s">
        <v>1874</v>
      </c>
      <c r="B707" s="8" t="s">
        <v>3277</v>
      </c>
      <c r="C707" s="8" t="s">
        <v>3278</v>
      </c>
      <c r="D707" s="29" t="s">
        <v>1877</v>
      </c>
      <c r="E707" s="8" t="s">
        <v>195</v>
      </c>
      <c r="F707" s="8" t="s">
        <v>24</v>
      </c>
      <c r="G707" s="25"/>
      <c r="H707" s="27"/>
      <c r="I707" s="8"/>
      <c r="J707" s="8"/>
      <c r="K707" s="8"/>
      <c r="L707" s="8"/>
      <c r="M707" s="8"/>
      <c r="N707" s="8"/>
      <c r="O707" s="8"/>
      <c r="P707" s="8"/>
    </row>
    <row r="708" spans="1:16" x14ac:dyDescent="0.25">
      <c r="A708" s="8" t="s">
        <v>1914</v>
      </c>
      <c r="B708" s="8" t="s">
        <v>3279</v>
      </c>
      <c r="C708" s="8" t="s">
        <v>3280</v>
      </c>
      <c r="D708" s="29" t="s">
        <v>1917</v>
      </c>
      <c r="E708" s="8" t="s">
        <v>24</v>
      </c>
      <c r="F708" s="8" t="s">
        <v>24</v>
      </c>
      <c r="G708" s="25">
        <v>100</v>
      </c>
      <c r="H708" s="27" t="str">
        <f>HYPERLINK("https://doc.morningstar.com/Document/a765f1da34a773710ce339b3541a3d28.msdoc?clientid=fnz&amp;key=9c0e4d166b60ffd3","TMD")</f>
        <v>TMD</v>
      </c>
      <c r="I708" s="8" t="s">
        <v>25</v>
      </c>
      <c r="J708" s="8" t="s">
        <v>26</v>
      </c>
      <c r="K708" s="8" t="s">
        <v>27</v>
      </c>
      <c r="L708" s="8" t="s">
        <v>27</v>
      </c>
      <c r="M708" s="8" t="s">
        <v>26</v>
      </c>
      <c r="N708" s="8" t="s">
        <v>216</v>
      </c>
      <c r="O708" s="8" t="s">
        <v>27</v>
      </c>
      <c r="P708" s="8" t="s">
        <v>27</v>
      </c>
    </row>
    <row r="709" spans="1:16" x14ac:dyDescent="0.25">
      <c r="A709" s="8" t="s">
        <v>1874</v>
      </c>
      <c r="B709" s="8" t="s">
        <v>3281</v>
      </c>
      <c r="C709" s="8" t="s">
        <v>3282</v>
      </c>
      <c r="D709" s="29" t="s">
        <v>1877</v>
      </c>
      <c r="E709" s="8" t="s">
        <v>195</v>
      </c>
      <c r="F709" s="8" t="s">
        <v>24</v>
      </c>
      <c r="G709" s="25"/>
      <c r="H709" s="27"/>
      <c r="I709" s="8"/>
      <c r="J709" s="8"/>
      <c r="K709" s="8"/>
      <c r="L709" s="8"/>
      <c r="M709" s="8"/>
      <c r="N709" s="8"/>
      <c r="O709" s="8"/>
      <c r="P709" s="8"/>
    </row>
    <row r="710" spans="1:16" x14ac:dyDescent="0.25">
      <c r="A710" s="8" t="s">
        <v>1874</v>
      </c>
      <c r="B710" s="8" t="s">
        <v>3283</v>
      </c>
      <c r="C710" s="8" t="s">
        <v>3284</v>
      </c>
      <c r="D710" s="29" t="s">
        <v>1877</v>
      </c>
      <c r="E710" s="8" t="s">
        <v>24</v>
      </c>
      <c r="F710" s="8" t="s">
        <v>24</v>
      </c>
      <c r="G710" s="25"/>
      <c r="H710" s="27"/>
      <c r="I710" s="8"/>
      <c r="J710" s="8"/>
      <c r="K710" s="8"/>
      <c r="L710" s="8"/>
      <c r="M710" s="8"/>
      <c r="N710" s="8"/>
      <c r="O710" s="8"/>
      <c r="P710" s="8"/>
    </row>
    <row r="711" spans="1:16" x14ac:dyDescent="0.25">
      <c r="A711" s="8" t="s">
        <v>1914</v>
      </c>
      <c r="B711" s="8" t="s">
        <v>3285</v>
      </c>
      <c r="C711" s="8" t="s">
        <v>3286</v>
      </c>
      <c r="D711" s="29" t="s">
        <v>1917</v>
      </c>
      <c r="E711" s="8" t="s">
        <v>195</v>
      </c>
      <c r="F711" s="8" t="s">
        <v>24</v>
      </c>
      <c r="G711" s="25"/>
      <c r="H711" s="27" t="s">
        <v>1495</v>
      </c>
      <c r="I711" s="8" t="s">
        <v>25</v>
      </c>
      <c r="J711" s="8"/>
      <c r="K711" s="8"/>
      <c r="L711" s="8"/>
      <c r="M711" s="8"/>
      <c r="N711" s="8"/>
      <c r="O711" s="8"/>
      <c r="P711" s="8"/>
    </row>
    <row r="712" spans="1:16" x14ac:dyDescent="0.25">
      <c r="A712" s="8" t="s">
        <v>1874</v>
      </c>
      <c r="B712" s="8" t="s">
        <v>3287</v>
      </c>
      <c r="C712" s="8" t="s">
        <v>3288</v>
      </c>
      <c r="D712" s="29" t="s">
        <v>1877</v>
      </c>
      <c r="E712" s="8" t="s">
        <v>24</v>
      </c>
      <c r="F712" s="8" t="s">
        <v>24</v>
      </c>
      <c r="G712" s="25">
        <v>30</v>
      </c>
      <c r="H712" s="27"/>
      <c r="I712" s="8"/>
      <c r="J712" s="8"/>
      <c r="K712" s="8"/>
      <c r="L712" s="8"/>
      <c r="M712" s="8"/>
      <c r="N712" s="8"/>
      <c r="O712" s="8"/>
      <c r="P712" s="8"/>
    </row>
    <row r="713" spans="1:16" x14ac:dyDescent="0.25">
      <c r="A713" s="8" t="s">
        <v>1874</v>
      </c>
      <c r="B713" s="8" t="s">
        <v>3289</v>
      </c>
      <c r="C713" s="8" t="s">
        <v>3290</v>
      </c>
      <c r="D713" s="29" t="s">
        <v>2866</v>
      </c>
      <c r="E713" s="8" t="s">
        <v>195</v>
      </c>
      <c r="F713" s="8" t="s">
        <v>24</v>
      </c>
      <c r="G713" s="25"/>
      <c r="H713" s="27"/>
      <c r="I713" s="8"/>
      <c r="J713" s="8"/>
      <c r="K713" s="8"/>
      <c r="L713" s="8"/>
      <c r="M713" s="8"/>
      <c r="N713" s="8"/>
      <c r="O713" s="8"/>
      <c r="P713" s="8"/>
    </row>
    <row r="714" spans="1:16" x14ac:dyDescent="0.25">
      <c r="A714" s="8" t="s">
        <v>1874</v>
      </c>
      <c r="B714" s="8" t="s">
        <v>3291</v>
      </c>
      <c r="C714" s="8" t="s">
        <v>3292</v>
      </c>
      <c r="D714" s="29" t="s">
        <v>1877</v>
      </c>
      <c r="E714" s="8" t="s">
        <v>195</v>
      </c>
      <c r="F714" s="8" t="s">
        <v>24</v>
      </c>
      <c r="G714" s="25"/>
      <c r="H714" s="27"/>
      <c r="I714" s="8"/>
      <c r="J714" s="8"/>
      <c r="K714" s="8"/>
      <c r="L714" s="8"/>
      <c r="M714" s="8"/>
      <c r="N714" s="8"/>
      <c r="O714" s="8"/>
      <c r="P714" s="8"/>
    </row>
    <row r="715" spans="1:16" x14ac:dyDescent="0.25">
      <c r="A715" s="8" t="s">
        <v>1874</v>
      </c>
      <c r="B715" s="8" t="s">
        <v>3293</v>
      </c>
      <c r="C715" s="8" t="s">
        <v>3294</v>
      </c>
      <c r="D715" s="29" t="s">
        <v>1877</v>
      </c>
      <c r="E715" s="8" t="s">
        <v>195</v>
      </c>
      <c r="F715" s="8" t="s">
        <v>24</v>
      </c>
      <c r="G715" s="25"/>
      <c r="H715" s="27"/>
      <c r="I715" s="8"/>
      <c r="J715" s="8"/>
      <c r="K715" s="8"/>
      <c r="L715" s="8"/>
      <c r="M715" s="8"/>
      <c r="N715" s="8"/>
      <c r="O715" s="8"/>
      <c r="P715" s="8"/>
    </row>
    <row r="716" spans="1:16" x14ac:dyDescent="0.25">
      <c r="A716" s="8" t="s">
        <v>1874</v>
      </c>
      <c r="B716" s="8" t="s">
        <v>3295</v>
      </c>
      <c r="C716" s="8" t="s">
        <v>3296</v>
      </c>
      <c r="D716" s="29" t="s">
        <v>1877</v>
      </c>
      <c r="E716" s="8" t="s">
        <v>195</v>
      </c>
      <c r="F716" s="8" t="s">
        <v>24</v>
      </c>
      <c r="G716" s="25"/>
      <c r="H716" s="27"/>
      <c r="I716" s="8"/>
      <c r="J716" s="8"/>
      <c r="K716" s="8"/>
      <c r="L716" s="8"/>
      <c r="M716" s="8"/>
      <c r="N716" s="8"/>
      <c r="O716" s="8"/>
      <c r="P716" s="8"/>
    </row>
    <row r="717" spans="1:16" x14ac:dyDescent="0.25">
      <c r="A717" s="8" t="s">
        <v>1874</v>
      </c>
      <c r="B717" s="8" t="s">
        <v>3297</v>
      </c>
      <c r="C717" s="8" t="s">
        <v>3298</v>
      </c>
      <c r="D717" s="29" t="s">
        <v>1877</v>
      </c>
      <c r="E717" s="8" t="s">
        <v>195</v>
      </c>
      <c r="F717" s="8" t="s">
        <v>24</v>
      </c>
      <c r="G717" s="25"/>
      <c r="H717" s="27"/>
      <c r="I717" s="8"/>
      <c r="J717" s="8"/>
      <c r="K717" s="8"/>
      <c r="L717" s="8"/>
      <c r="M717" s="8"/>
      <c r="N717" s="8"/>
      <c r="O717" s="8"/>
      <c r="P717" s="8"/>
    </row>
    <row r="718" spans="1:16" x14ac:dyDescent="0.25">
      <c r="A718" s="8" t="s">
        <v>1874</v>
      </c>
      <c r="B718" s="8" t="s">
        <v>3299</v>
      </c>
      <c r="C718" s="8" t="s">
        <v>3300</v>
      </c>
      <c r="D718" s="29" t="s">
        <v>1877</v>
      </c>
      <c r="E718" s="8" t="s">
        <v>195</v>
      </c>
      <c r="F718" s="8" t="s">
        <v>24</v>
      </c>
      <c r="G718" s="25"/>
      <c r="H718" s="27"/>
      <c r="I718" s="8"/>
      <c r="J718" s="8"/>
      <c r="K718" s="8"/>
      <c r="L718" s="8"/>
      <c r="M718" s="8"/>
      <c r="N718" s="8"/>
      <c r="O718" s="8"/>
      <c r="P718" s="8"/>
    </row>
    <row r="719" spans="1:16" x14ac:dyDescent="0.25">
      <c r="A719" s="8" t="s">
        <v>1874</v>
      </c>
      <c r="B719" s="8" t="s">
        <v>3301</v>
      </c>
      <c r="C719" s="8" t="s">
        <v>3302</v>
      </c>
      <c r="D719" s="29" t="s">
        <v>1877</v>
      </c>
      <c r="E719" s="8" t="s">
        <v>195</v>
      </c>
      <c r="F719" s="8" t="s">
        <v>24</v>
      </c>
      <c r="G719" s="25"/>
      <c r="H719" s="27"/>
      <c r="I719" s="8"/>
      <c r="J719" s="8"/>
      <c r="K719" s="8"/>
      <c r="L719" s="8"/>
      <c r="M719" s="8"/>
      <c r="N719" s="8"/>
      <c r="O719" s="8"/>
      <c r="P719" s="8"/>
    </row>
    <row r="720" spans="1:16" x14ac:dyDescent="0.25">
      <c r="A720" s="8" t="s">
        <v>1874</v>
      </c>
      <c r="B720" s="8" t="s">
        <v>3303</v>
      </c>
      <c r="C720" s="8" t="s">
        <v>3304</v>
      </c>
      <c r="D720" s="29" t="s">
        <v>1877</v>
      </c>
      <c r="E720" s="8" t="s">
        <v>195</v>
      </c>
      <c r="F720" s="8" t="s">
        <v>24</v>
      </c>
      <c r="G720" s="25"/>
      <c r="H720" s="27"/>
      <c r="I720" s="8"/>
      <c r="J720" s="8"/>
      <c r="K720" s="8"/>
      <c r="L720" s="8"/>
      <c r="M720" s="8"/>
      <c r="N720" s="8"/>
      <c r="O720" s="8"/>
      <c r="P720" s="8"/>
    </row>
    <row r="721" spans="1:16" x14ac:dyDescent="0.25">
      <c r="A721" s="8" t="s">
        <v>1874</v>
      </c>
      <c r="B721" s="8" t="s">
        <v>3305</v>
      </c>
      <c r="C721" s="8" t="s">
        <v>3306</v>
      </c>
      <c r="D721" s="29" t="s">
        <v>1877</v>
      </c>
      <c r="E721" s="8" t="s">
        <v>195</v>
      </c>
      <c r="F721" s="8" t="s">
        <v>24</v>
      </c>
      <c r="G721" s="25"/>
      <c r="H721" s="27"/>
      <c r="I721" s="8"/>
      <c r="J721" s="8"/>
      <c r="K721" s="8"/>
      <c r="L721" s="8"/>
      <c r="M721" s="8"/>
      <c r="N721" s="8"/>
      <c r="O721" s="8"/>
      <c r="P721" s="8"/>
    </row>
    <row r="722" spans="1:16" x14ac:dyDescent="0.25">
      <c r="A722" s="8" t="s">
        <v>1874</v>
      </c>
      <c r="B722" s="8" t="s">
        <v>3307</v>
      </c>
      <c r="C722" s="8" t="s">
        <v>3308</v>
      </c>
      <c r="D722" s="29" t="s">
        <v>1877</v>
      </c>
      <c r="E722" s="8" t="s">
        <v>195</v>
      </c>
      <c r="F722" s="8" t="s">
        <v>24</v>
      </c>
      <c r="G722" s="25"/>
      <c r="H722" s="27"/>
      <c r="I722" s="8"/>
      <c r="J722" s="8"/>
      <c r="K722" s="8"/>
      <c r="L722" s="8"/>
      <c r="M722" s="8"/>
      <c r="N722" s="8"/>
      <c r="O722" s="8"/>
      <c r="P722" s="8"/>
    </row>
    <row r="723" spans="1:16" x14ac:dyDescent="0.25">
      <c r="A723" s="8" t="s">
        <v>1874</v>
      </c>
      <c r="B723" s="8" t="s">
        <v>3309</v>
      </c>
      <c r="C723" s="8" t="s">
        <v>3310</v>
      </c>
      <c r="D723" s="29" t="s">
        <v>2030</v>
      </c>
      <c r="E723" s="8" t="s">
        <v>24</v>
      </c>
      <c r="F723" s="8" t="s">
        <v>24</v>
      </c>
      <c r="G723" s="25"/>
      <c r="H723" s="27"/>
      <c r="I723" s="8"/>
      <c r="J723" s="8"/>
      <c r="K723" s="8"/>
      <c r="L723" s="8"/>
      <c r="M723" s="8"/>
      <c r="N723" s="8"/>
      <c r="O723" s="8"/>
      <c r="P723" s="8"/>
    </row>
    <row r="724" spans="1:16" x14ac:dyDescent="0.25">
      <c r="A724" s="8" t="s">
        <v>1874</v>
      </c>
      <c r="B724" s="8" t="s">
        <v>3311</v>
      </c>
      <c r="C724" s="8" t="s">
        <v>3312</v>
      </c>
      <c r="D724" s="29" t="s">
        <v>1877</v>
      </c>
      <c r="E724" s="8" t="s">
        <v>195</v>
      </c>
      <c r="F724" s="8" t="s">
        <v>24</v>
      </c>
      <c r="G724" s="25"/>
      <c r="H724" s="27"/>
      <c r="I724" s="8"/>
      <c r="J724" s="8"/>
      <c r="K724" s="8"/>
      <c r="L724" s="8"/>
      <c r="M724" s="8"/>
      <c r="N724" s="8"/>
      <c r="O724" s="8"/>
      <c r="P724" s="8"/>
    </row>
    <row r="725" spans="1:16" x14ac:dyDescent="0.25">
      <c r="A725" s="8" t="s">
        <v>1874</v>
      </c>
      <c r="B725" s="8" t="s">
        <v>3313</v>
      </c>
      <c r="C725" s="8" t="s">
        <v>3314</v>
      </c>
      <c r="D725" s="29" t="s">
        <v>1877</v>
      </c>
      <c r="E725" s="8" t="s">
        <v>195</v>
      </c>
      <c r="F725" s="8" t="s">
        <v>24</v>
      </c>
      <c r="G725" s="25"/>
      <c r="H725" s="27"/>
      <c r="I725" s="8"/>
      <c r="J725" s="8"/>
      <c r="K725" s="8"/>
      <c r="L725" s="8"/>
      <c r="M725" s="8"/>
      <c r="N725" s="8"/>
      <c r="O725" s="8"/>
      <c r="P725" s="8"/>
    </row>
    <row r="726" spans="1:16" x14ac:dyDescent="0.25">
      <c r="A726" s="8" t="s">
        <v>1874</v>
      </c>
      <c r="B726" s="8" t="s">
        <v>3315</v>
      </c>
      <c r="C726" s="8" t="s">
        <v>3316</v>
      </c>
      <c r="D726" s="29" t="s">
        <v>1877</v>
      </c>
      <c r="E726" s="8" t="s">
        <v>195</v>
      </c>
      <c r="F726" s="8" t="s">
        <v>24</v>
      </c>
      <c r="G726" s="25"/>
      <c r="H726" s="27"/>
      <c r="I726" s="8"/>
      <c r="J726" s="8"/>
      <c r="K726" s="8"/>
      <c r="L726" s="8"/>
      <c r="M726" s="8"/>
      <c r="N726" s="8"/>
      <c r="O726" s="8"/>
      <c r="P726" s="8"/>
    </row>
    <row r="727" spans="1:16" x14ac:dyDescent="0.25">
      <c r="A727" s="8" t="s">
        <v>1874</v>
      </c>
      <c r="B727" s="8" t="s">
        <v>3317</v>
      </c>
      <c r="C727" s="8" t="s">
        <v>3318</v>
      </c>
      <c r="D727" s="29" t="s">
        <v>2030</v>
      </c>
      <c r="E727" s="8" t="s">
        <v>195</v>
      </c>
      <c r="F727" s="8" t="s">
        <v>24</v>
      </c>
      <c r="G727" s="25"/>
      <c r="H727" s="27"/>
      <c r="I727" s="8"/>
      <c r="J727" s="8"/>
      <c r="K727" s="8"/>
      <c r="L727" s="8"/>
      <c r="M727" s="8"/>
      <c r="N727" s="8"/>
      <c r="O727" s="8"/>
      <c r="P727" s="8"/>
    </row>
    <row r="728" spans="1:16" x14ac:dyDescent="0.25">
      <c r="A728" s="8" t="s">
        <v>1874</v>
      </c>
      <c r="B728" s="8" t="s">
        <v>3319</v>
      </c>
      <c r="C728" s="8">
        <v>360</v>
      </c>
      <c r="D728" s="29" t="s">
        <v>1894</v>
      </c>
      <c r="E728" s="8" t="s">
        <v>24</v>
      </c>
      <c r="F728" s="8" t="s">
        <v>24</v>
      </c>
      <c r="G728" s="25"/>
      <c r="H728" s="27"/>
      <c r="I728" s="8"/>
      <c r="J728" s="8"/>
      <c r="K728" s="8"/>
      <c r="L728" s="8"/>
      <c r="M728" s="8"/>
      <c r="N728" s="8"/>
      <c r="O728" s="8"/>
      <c r="P728" s="8"/>
    </row>
    <row r="729" spans="1:16" x14ac:dyDescent="0.25">
      <c r="A729" s="8" t="s">
        <v>1874</v>
      </c>
      <c r="B729" s="8" t="s">
        <v>3320</v>
      </c>
      <c r="C729" s="8" t="s">
        <v>3321</v>
      </c>
      <c r="D729" s="29" t="s">
        <v>1877</v>
      </c>
      <c r="E729" s="8" t="s">
        <v>24</v>
      </c>
      <c r="F729" s="8" t="s">
        <v>24</v>
      </c>
      <c r="G729" s="25"/>
      <c r="H729" s="27"/>
      <c r="I729" s="8"/>
      <c r="J729" s="8"/>
      <c r="K729" s="8"/>
      <c r="L729" s="8"/>
      <c r="M729" s="8"/>
      <c r="N729" s="8"/>
      <c r="O729" s="8"/>
      <c r="P729" s="8"/>
    </row>
    <row r="730" spans="1:16" x14ac:dyDescent="0.25">
      <c r="A730" s="8" t="s">
        <v>1874</v>
      </c>
      <c r="B730" s="8" t="s">
        <v>3322</v>
      </c>
      <c r="C730" s="8" t="s">
        <v>3323</v>
      </c>
      <c r="D730" s="29" t="s">
        <v>1894</v>
      </c>
      <c r="E730" s="8" t="s">
        <v>24</v>
      </c>
      <c r="F730" s="8" t="s">
        <v>24</v>
      </c>
      <c r="G730" s="25"/>
      <c r="H730" s="27"/>
      <c r="I730" s="8"/>
      <c r="J730" s="8"/>
      <c r="K730" s="8"/>
      <c r="L730" s="8"/>
      <c r="M730" s="8"/>
      <c r="N730" s="8"/>
      <c r="O730" s="8"/>
      <c r="P730" s="8"/>
    </row>
    <row r="731" spans="1:16" x14ac:dyDescent="0.25">
      <c r="A731" s="8" t="s">
        <v>1874</v>
      </c>
      <c r="B731" s="8" t="s">
        <v>3324</v>
      </c>
      <c r="C731" s="8" t="s">
        <v>3325</v>
      </c>
      <c r="D731" s="29" t="s">
        <v>1877</v>
      </c>
      <c r="E731" s="8" t="s">
        <v>195</v>
      </c>
      <c r="F731" s="8" t="s">
        <v>24</v>
      </c>
      <c r="G731" s="25"/>
      <c r="H731" s="27"/>
      <c r="I731" s="8"/>
      <c r="J731" s="8"/>
      <c r="K731" s="8"/>
      <c r="L731" s="8"/>
      <c r="M731" s="8"/>
      <c r="N731" s="8"/>
      <c r="O731" s="8"/>
      <c r="P731" s="8"/>
    </row>
    <row r="732" spans="1:16" x14ac:dyDescent="0.25">
      <c r="A732" s="8" t="s">
        <v>1874</v>
      </c>
      <c r="B732" s="8" t="s">
        <v>3326</v>
      </c>
      <c r="C732" s="8" t="s">
        <v>3327</v>
      </c>
      <c r="D732" s="29" t="s">
        <v>1877</v>
      </c>
      <c r="E732" s="8" t="s">
        <v>195</v>
      </c>
      <c r="F732" s="8" t="s">
        <v>24</v>
      </c>
      <c r="G732" s="25"/>
      <c r="H732" s="27"/>
      <c r="I732" s="8"/>
      <c r="J732" s="8"/>
      <c r="K732" s="8"/>
      <c r="L732" s="8"/>
      <c r="M732" s="8"/>
      <c r="N732" s="8"/>
      <c r="O732" s="8"/>
      <c r="P732" s="8"/>
    </row>
    <row r="733" spans="1:16" x14ac:dyDescent="0.25">
      <c r="A733" s="8" t="s">
        <v>1874</v>
      </c>
      <c r="B733" s="8" t="s">
        <v>3328</v>
      </c>
      <c r="C733" s="8" t="s">
        <v>3329</v>
      </c>
      <c r="D733" s="29" t="s">
        <v>1877</v>
      </c>
      <c r="E733" s="8" t="s">
        <v>195</v>
      </c>
      <c r="F733" s="8" t="s">
        <v>24</v>
      </c>
      <c r="G733" s="25"/>
      <c r="H733" s="27"/>
      <c r="I733" s="8"/>
      <c r="J733" s="8"/>
      <c r="K733" s="8"/>
      <c r="L733" s="8"/>
      <c r="M733" s="8"/>
      <c r="N733" s="8"/>
      <c r="O733" s="8"/>
      <c r="P733" s="8"/>
    </row>
    <row r="734" spans="1:16" x14ac:dyDescent="0.25">
      <c r="A734" s="8" t="s">
        <v>1874</v>
      </c>
      <c r="B734" s="8" t="s">
        <v>3330</v>
      </c>
      <c r="C734" s="8" t="s">
        <v>3331</v>
      </c>
      <c r="D734" s="29" t="s">
        <v>1877</v>
      </c>
      <c r="E734" s="8" t="s">
        <v>24</v>
      </c>
      <c r="F734" s="8" t="s">
        <v>24</v>
      </c>
      <c r="G734" s="25"/>
      <c r="H734" s="27"/>
      <c r="I734" s="8"/>
      <c r="J734" s="8"/>
      <c r="K734" s="8"/>
      <c r="L734" s="8"/>
      <c r="M734" s="8"/>
      <c r="N734" s="8"/>
      <c r="O734" s="8"/>
      <c r="P734" s="8"/>
    </row>
    <row r="735" spans="1:16" x14ac:dyDescent="0.25">
      <c r="A735" s="8" t="s">
        <v>1914</v>
      </c>
      <c r="B735" s="8" t="s">
        <v>3332</v>
      </c>
      <c r="C735" s="8" t="s">
        <v>3333</v>
      </c>
      <c r="D735" s="29" t="s">
        <v>1917</v>
      </c>
      <c r="E735" s="8" t="s">
        <v>24</v>
      </c>
      <c r="F735" s="8" t="s">
        <v>24</v>
      </c>
      <c r="G735" s="25">
        <v>100</v>
      </c>
      <c r="H735" s="27" t="str">
        <f>HYPERLINK("https://doc.morningstar.com/Document/ae662d198e6895f227db4c1b2e42e06d.msdoc?clientid=fnz&amp;key=9c0e4d166b60ffd3","TMD")</f>
        <v>TMD</v>
      </c>
      <c r="I735" s="8" t="s">
        <v>25</v>
      </c>
      <c r="J735" s="8" t="s">
        <v>26</v>
      </c>
      <c r="K735" s="8" t="s">
        <v>27</v>
      </c>
      <c r="L735" s="8" t="s">
        <v>27</v>
      </c>
      <c r="M735" s="8" t="s">
        <v>26</v>
      </c>
      <c r="N735" s="8" t="s">
        <v>26</v>
      </c>
      <c r="O735" s="8" t="s">
        <v>27</v>
      </c>
      <c r="P735" s="8" t="s">
        <v>27</v>
      </c>
    </row>
    <row r="736" spans="1:16" x14ac:dyDescent="0.25">
      <c r="A736" s="8" t="s">
        <v>1914</v>
      </c>
      <c r="B736" s="8" t="s">
        <v>3334</v>
      </c>
      <c r="C736" s="8" t="s">
        <v>3335</v>
      </c>
      <c r="D736" s="29" t="s">
        <v>1917</v>
      </c>
      <c r="E736" s="8" t="s">
        <v>195</v>
      </c>
      <c r="F736" s="8" t="s">
        <v>24</v>
      </c>
      <c r="G736" s="25"/>
      <c r="H736" s="27" t="str">
        <f>HYPERLINK("https://doc.morningstar.com/Document/0af5fcb5707e362f6a03d1cfca51a368.msdoc?clientid=fnz&amp;key=9c0e4d166b60ffd3","TMD")</f>
        <v>TMD</v>
      </c>
      <c r="I736" s="8" t="s">
        <v>25</v>
      </c>
      <c r="J736" s="8" t="s">
        <v>26</v>
      </c>
      <c r="K736" s="8" t="s">
        <v>26</v>
      </c>
      <c r="L736" s="8" t="s">
        <v>26</v>
      </c>
      <c r="M736" s="8" t="s">
        <v>26</v>
      </c>
      <c r="N736" s="8" t="s">
        <v>26</v>
      </c>
      <c r="O736" s="8" t="s">
        <v>27</v>
      </c>
      <c r="P736" s="8" t="s">
        <v>27</v>
      </c>
    </row>
    <row r="737" spans="1:16" x14ac:dyDescent="0.25">
      <c r="A737" s="8" t="s">
        <v>1874</v>
      </c>
      <c r="B737" s="8" t="s">
        <v>3336</v>
      </c>
      <c r="C737" s="8" t="s">
        <v>3337</v>
      </c>
      <c r="D737" s="29" t="s">
        <v>1877</v>
      </c>
      <c r="E737" s="8" t="s">
        <v>24</v>
      </c>
      <c r="F737" s="8" t="s">
        <v>24</v>
      </c>
      <c r="G737" s="25"/>
      <c r="H737" s="27"/>
      <c r="I737" s="8"/>
      <c r="J737" s="8"/>
      <c r="K737" s="8"/>
      <c r="L737" s="8"/>
      <c r="M737" s="8"/>
      <c r="N737" s="8"/>
      <c r="O737" s="8"/>
      <c r="P737" s="8"/>
    </row>
    <row r="738" spans="1:16" x14ac:dyDescent="0.25">
      <c r="A738" s="8" t="s">
        <v>1874</v>
      </c>
      <c r="B738" s="8" t="s">
        <v>3338</v>
      </c>
      <c r="C738" s="8" t="s">
        <v>3339</v>
      </c>
      <c r="D738" s="29" t="s">
        <v>1877</v>
      </c>
      <c r="E738" s="8" t="s">
        <v>24</v>
      </c>
      <c r="F738" s="8" t="s">
        <v>24</v>
      </c>
      <c r="G738" s="25"/>
      <c r="H738" s="27"/>
      <c r="I738" s="8"/>
      <c r="J738" s="8"/>
      <c r="K738" s="8"/>
      <c r="L738" s="8"/>
      <c r="M738" s="8"/>
      <c r="N738" s="8"/>
      <c r="O738" s="8"/>
      <c r="P738" s="8"/>
    </row>
    <row r="739" spans="1:16" x14ac:dyDescent="0.25">
      <c r="A739" s="8" t="s">
        <v>1874</v>
      </c>
      <c r="B739" s="8" t="s">
        <v>3340</v>
      </c>
      <c r="C739" s="8" t="s">
        <v>3341</v>
      </c>
      <c r="D739" s="29" t="s">
        <v>1877</v>
      </c>
      <c r="E739" s="8" t="s">
        <v>195</v>
      </c>
      <c r="F739" s="8" t="s">
        <v>24</v>
      </c>
      <c r="G739" s="25"/>
      <c r="H739" s="27"/>
      <c r="I739" s="8"/>
      <c r="J739" s="8"/>
      <c r="K739" s="8"/>
      <c r="L739" s="8"/>
      <c r="M739" s="8"/>
      <c r="N739" s="8"/>
      <c r="O739" s="8"/>
      <c r="P739" s="8"/>
    </row>
    <row r="740" spans="1:16" x14ac:dyDescent="0.25">
      <c r="A740" s="8" t="s">
        <v>1874</v>
      </c>
      <c r="B740" s="8" t="s">
        <v>3342</v>
      </c>
      <c r="C740" s="8" t="s">
        <v>3343</v>
      </c>
      <c r="D740" s="29" t="s">
        <v>1877</v>
      </c>
      <c r="E740" s="8" t="s">
        <v>195</v>
      </c>
      <c r="F740" s="8" t="s">
        <v>24</v>
      </c>
      <c r="G740" s="25"/>
      <c r="H740" s="27"/>
      <c r="I740" s="8"/>
      <c r="J740" s="8"/>
      <c r="K740" s="8"/>
      <c r="L740" s="8"/>
      <c r="M740" s="8"/>
      <c r="N740" s="8"/>
      <c r="O740" s="8"/>
      <c r="P740" s="8"/>
    </row>
    <row r="741" spans="1:16" x14ac:dyDescent="0.25">
      <c r="A741" s="8" t="s">
        <v>1874</v>
      </c>
      <c r="B741" s="8" t="s">
        <v>3344</v>
      </c>
      <c r="C741" s="8" t="s">
        <v>3345</v>
      </c>
      <c r="D741" s="29" t="s">
        <v>1877</v>
      </c>
      <c r="E741" s="8" t="s">
        <v>195</v>
      </c>
      <c r="F741" s="8" t="s">
        <v>24</v>
      </c>
      <c r="G741" s="25"/>
      <c r="H741" s="27"/>
      <c r="I741" s="8"/>
      <c r="J741" s="8"/>
      <c r="K741" s="8"/>
      <c r="L741" s="8"/>
      <c r="M741" s="8"/>
      <c r="N741" s="8"/>
      <c r="O741" s="8"/>
      <c r="P741" s="8"/>
    </row>
    <row r="742" spans="1:16" x14ac:dyDescent="0.25">
      <c r="A742" s="8" t="s">
        <v>1874</v>
      </c>
      <c r="B742" s="8" t="s">
        <v>3346</v>
      </c>
      <c r="C742" s="8" t="s">
        <v>3347</v>
      </c>
      <c r="D742" s="29" t="s">
        <v>1877</v>
      </c>
      <c r="E742" s="8" t="s">
        <v>24</v>
      </c>
      <c r="F742" s="8" t="s">
        <v>24</v>
      </c>
      <c r="G742" s="25"/>
      <c r="H742" s="27"/>
      <c r="I742" s="8"/>
      <c r="J742" s="8"/>
      <c r="K742" s="8"/>
      <c r="L742" s="8"/>
      <c r="M742" s="8"/>
      <c r="N742" s="8"/>
      <c r="O742" s="8"/>
      <c r="P742" s="8"/>
    </row>
    <row r="743" spans="1:16" x14ac:dyDescent="0.25">
      <c r="A743" s="8" t="s">
        <v>1874</v>
      </c>
      <c r="B743" s="8" t="s">
        <v>3348</v>
      </c>
      <c r="C743" s="8" t="s">
        <v>3349</v>
      </c>
      <c r="D743" s="29" t="s">
        <v>1877</v>
      </c>
      <c r="E743" s="8" t="s">
        <v>195</v>
      </c>
      <c r="F743" s="8" t="s">
        <v>24</v>
      </c>
      <c r="G743" s="25"/>
      <c r="H743" s="27"/>
      <c r="I743" s="8"/>
      <c r="J743" s="8"/>
      <c r="K743" s="8"/>
      <c r="L743" s="8"/>
      <c r="M743" s="8"/>
      <c r="N743" s="8"/>
      <c r="O743" s="8"/>
      <c r="P743" s="8"/>
    </row>
    <row r="744" spans="1:16" x14ac:dyDescent="0.25">
      <c r="A744" s="8" t="s">
        <v>1874</v>
      </c>
      <c r="B744" s="8" t="s">
        <v>3350</v>
      </c>
      <c r="C744" s="8" t="s">
        <v>3351</v>
      </c>
      <c r="D744" s="29" t="s">
        <v>1877</v>
      </c>
      <c r="E744" s="8" t="s">
        <v>195</v>
      </c>
      <c r="F744" s="8" t="s">
        <v>24</v>
      </c>
      <c r="G744" s="25"/>
      <c r="H744" s="27"/>
      <c r="I744" s="8"/>
      <c r="J744" s="8"/>
      <c r="K744" s="8"/>
      <c r="L744" s="8"/>
      <c r="M744" s="8"/>
      <c r="N744" s="8"/>
      <c r="O744" s="8"/>
      <c r="P744" s="8"/>
    </row>
    <row r="745" spans="1:16" x14ac:dyDescent="0.25">
      <c r="A745" s="8" t="s">
        <v>1874</v>
      </c>
      <c r="B745" s="8" t="s">
        <v>3352</v>
      </c>
      <c r="C745" s="8" t="s">
        <v>3353</v>
      </c>
      <c r="D745" s="29" t="s">
        <v>1877</v>
      </c>
      <c r="E745" s="8" t="s">
        <v>24</v>
      </c>
      <c r="F745" s="8" t="s">
        <v>24</v>
      </c>
      <c r="G745" s="25"/>
      <c r="H745" s="27"/>
      <c r="I745" s="8"/>
      <c r="J745" s="8"/>
      <c r="K745" s="8"/>
      <c r="L745" s="8"/>
      <c r="M745" s="8"/>
      <c r="N745" s="8"/>
      <c r="O745" s="8"/>
      <c r="P745" s="8"/>
    </row>
    <row r="746" spans="1:16" x14ac:dyDescent="0.25">
      <c r="A746" s="8" t="s">
        <v>1874</v>
      </c>
      <c r="B746" s="8" t="s">
        <v>3354</v>
      </c>
      <c r="C746" s="8" t="s">
        <v>3355</v>
      </c>
      <c r="D746" s="29" t="s">
        <v>1877</v>
      </c>
      <c r="E746" s="8" t="s">
        <v>24</v>
      </c>
      <c r="F746" s="8" t="s">
        <v>24</v>
      </c>
      <c r="G746" s="25"/>
      <c r="H746" s="27"/>
      <c r="I746" s="8"/>
      <c r="J746" s="8"/>
      <c r="K746" s="8"/>
      <c r="L746" s="8"/>
      <c r="M746" s="8"/>
      <c r="N746" s="8"/>
      <c r="O746" s="8"/>
      <c r="P746" s="8"/>
    </row>
    <row r="747" spans="1:16" x14ac:dyDescent="0.25">
      <c r="A747" s="8" t="s">
        <v>1874</v>
      </c>
      <c r="B747" s="8" t="s">
        <v>3356</v>
      </c>
      <c r="C747" s="8" t="s">
        <v>3357</v>
      </c>
      <c r="D747" s="29" t="s">
        <v>1877</v>
      </c>
      <c r="E747" s="8" t="s">
        <v>195</v>
      </c>
      <c r="F747" s="8" t="s">
        <v>24</v>
      </c>
      <c r="G747" s="25"/>
      <c r="H747" s="27"/>
      <c r="I747" s="8"/>
      <c r="J747" s="8"/>
      <c r="K747" s="8"/>
      <c r="L747" s="8"/>
      <c r="M747" s="8"/>
      <c r="N747" s="8"/>
      <c r="O747" s="8"/>
      <c r="P747" s="8"/>
    </row>
    <row r="748" spans="1:16" x14ac:dyDescent="0.25">
      <c r="A748" s="8" t="s">
        <v>1874</v>
      </c>
      <c r="B748" s="8" t="s">
        <v>3358</v>
      </c>
      <c r="C748" s="8" t="s">
        <v>3359</v>
      </c>
      <c r="D748" s="29" t="s">
        <v>1877</v>
      </c>
      <c r="E748" s="8" t="s">
        <v>195</v>
      </c>
      <c r="F748" s="8" t="s">
        <v>24</v>
      </c>
      <c r="G748" s="25"/>
      <c r="H748" s="27"/>
      <c r="I748" s="8"/>
      <c r="J748" s="8"/>
      <c r="K748" s="8"/>
      <c r="L748" s="8"/>
      <c r="M748" s="8"/>
      <c r="N748" s="8"/>
      <c r="O748" s="8"/>
      <c r="P748" s="8"/>
    </row>
    <row r="749" spans="1:16" x14ac:dyDescent="0.25">
      <c r="A749" s="8" t="s">
        <v>1874</v>
      </c>
      <c r="B749" s="8" t="s">
        <v>3360</v>
      </c>
      <c r="C749" s="8" t="s">
        <v>3361</v>
      </c>
      <c r="D749" s="29" t="s">
        <v>1877</v>
      </c>
      <c r="E749" s="8" t="s">
        <v>195</v>
      </c>
      <c r="F749" s="8" t="s">
        <v>24</v>
      </c>
      <c r="G749" s="25"/>
      <c r="H749" s="27"/>
      <c r="I749" s="8"/>
      <c r="J749" s="8"/>
      <c r="K749" s="8"/>
      <c r="L749" s="8"/>
      <c r="M749" s="8"/>
      <c r="N749" s="8"/>
      <c r="O749" s="8"/>
      <c r="P749" s="8"/>
    </row>
    <row r="750" spans="1:16" x14ac:dyDescent="0.25">
      <c r="A750" s="8" t="s">
        <v>1988</v>
      </c>
      <c r="B750" s="8" t="s">
        <v>3362</v>
      </c>
      <c r="C750" s="8" t="s">
        <v>3363</v>
      </c>
      <c r="D750" s="29" t="s">
        <v>1991</v>
      </c>
      <c r="E750" s="8" t="s">
        <v>24</v>
      </c>
      <c r="F750" s="8" t="s">
        <v>24</v>
      </c>
      <c r="G750" s="25">
        <v>20</v>
      </c>
      <c r="H750" s="27"/>
      <c r="I750" s="8"/>
      <c r="J750" s="8"/>
      <c r="K750" s="8"/>
      <c r="L750" s="8"/>
      <c r="M750" s="8"/>
      <c r="N750" s="8"/>
      <c r="O750" s="8"/>
      <c r="P750" s="8"/>
    </row>
    <row r="751" spans="1:16" x14ac:dyDescent="0.25">
      <c r="A751" s="8" t="s">
        <v>1914</v>
      </c>
      <c r="B751" s="8" t="s">
        <v>3364</v>
      </c>
      <c r="C751" s="8" t="s">
        <v>3365</v>
      </c>
      <c r="D751" s="29" t="s">
        <v>1917</v>
      </c>
      <c r="E751" s="8" t="s">
        <v>24</v>
      </c>
      <c r="F751" s="8" t="s">
        <v>24</v>
      </c>
      <c r="G751" s="25">
        <v>100</v>
      </c>
      <c r="H751" s="27" t="str">
        <f>HYPERLINK("https://doc.morningstar.com/Document/8b230401d74733b42b31d4e89cd3b69d.msdoc?clientid=fnz&amp;key=9c0e4d166b60ffd3","TMD")</f>
        <v>TMD</v>
      </c>
      <c r="I751" s="8" t="s">
        <v>25</v>
      </c>
      <c r="J751" s="8" t="s">
        <v>25</v>
      </c>
      <c r="K751" s="8" t="s">
        <v>25</v>
      </c>
      <c r="L751" s="8" t="s">
        <v>25</v>
      </c>
      <c r="M751" s="8" t="s">
        <v>26</v>
      </c>
      <c r="N751" s="8" t="s">
        <v>26</v>
      </c>
      <c r="O751" s="8" t="s">
        <v>27</v>
      </c>
      <c r="P751" s="8" t="s">
        <v>27</v>
      </c>
    </row>
    <row r="752" spans="1:16" x14ac:dyDescent="0.25">
      <c r="A752" s="8" t="s">
        <v>1914</v>
      </c>
      <c r="B752" s="8" t="s">
        <v>3366</v>
      </c>
      <c r="C752" s="8" t="s">
        <v>3367</v>
      </c>
      <c r="D752" s="29" t="s">
        <v>1917</v>
      </c>
      <c r="E752" s="8" t="s">
        <v>24</v>
      </c>
      <c r="F752" s="8" t="s">
        <v>24</v>
      </c>
      <c r="G752" s="25"/>
      <c r="H752" s="27" t="str">
        <f>HYPERLINK("https://doc.morningstar.com/Document/6687bf4a1699e6bd4bc49840dd85fb0c.msdoc?clientid=fnz&amp;key=9c0e4d166b60ffd3","TMD")</f>
        <v>TMD</v>
      </c>
      <c r="I752" s="8" t="s">
        <v>25</v>
      </c>
      <c r="J752" s="8" t="s">
        <v>25</v>
      </c>
      <c r="K752" s="8" t="s">
        <v>25</v>
      </c>
      <c r="L752" s="8" t="s">
        <v>25</v>
      </c>
      <c r="M752" s="8" t="s">
        <v>26</v>
      </c>
      <c r="N752" s="8" t="s">
        <v>26</v>
      </c>
      <c r="O752" s="8" t="s">
        <v>27</v>
      </c>
      <c r="P752" s="8" t="s">
        <v>27</v>
      </c>
    </row>
    <row r="753" spans="1:16" x14ac:dyDescent="0.25">
      <c r="A753" s="8" t="s">
        <v>1914</v>
      </c>
      <c r="B753" s="8" t="s">
        <v>3368</v>
      </c>
      <c r="C753" s="8" t="s">
        <v>3369</v>
      </c>
      <c r="D753" s="29" t="s">
        <v>1917</v>
      </c>
      <c r="E753" s="8" t="s">
        <v>195</v>
      </c>
      <c r="F753" s="8" t="s">
        <v>24</v>
      </c>
      <c r="G753" s="25"/>
      <c r="H753" s="27" t="str">
        <f>HYPERLINK("https://doc.morningstar.com/Document/9b942b6549df42e3568e6e58eb3e7527.msdoc?clientid=fnz&amp;key=9c0e4d166b60ffd3","TMD")</f>
        <v>TMD</v>
      </c>
      <c r="I753" s="8" t="s">
        <v>25</v>
      </c>
      <c r="J753" s="8" t="s">
        <v>25</v>
      </c>
      <c r="K753" s="8" t="s">
        <v>25</v>
      </c>
      <c r="L753" s="8" t="s">
        <v>25</v>
      </c>
      <c r="M753" s="8" t="s">
        <v>26</v>
      </c>
      <c r="N753" s="8" t="s">
        <v>27</v>
      </c>
      <c r="O753" s="8" t="s">
        <v>27</v>
      </c>
      <c r="P753" s="8" t="s">
        <v>26</v>
      </c>
    </row>
    <row r="754" spans="1:16" x14ac:dyDescent="0.25">
      <c r="A754" s="8" t="s">
        <v>1874</v>
      </c>
      <c r="B754" s="8" t="s">
        <v>3370</v>
      </c>
      <c r="C754" s="8" t="s">
        <v>3371</v>
      </c>
      <c r="D754" s="29" t="s">
        <v>2228</v>
      </c>
      <c r="E754" s="8" t="s">
        <v>24</v>
      </c>
      <c r="F754" s="8" t="s">
        <v>24</v>
      </c>
      <c r="G754" s="25">
        <v>20</v>
      </c>
      <c r="H754" s="27"/>
      <c r="I754" s="8"/>
      <c r="J754" s="8"/>
      <c r="K754" s="8"/>
      <c r="L754" s="8"/>
      <c r="M754" s="8"/>
      <c r="N754" s="8"/>
      <c r="O754" s="8"/>
      <c r="P754" s="8"/>
    </row>
    <row r="755" spans="1:16" x14ac:dyDescent="0.25">
      <c r="A755" s="8" t="s">
        <v>1874</v>
      </c>
      <c r="B755" s="8" t="s">
        <v>3372</v>
      </c>
      <c r="C755" s="8" t="s">
        <v>3373</v>
      </c>
      <c r="D755" s="29" t="s">
        <v>2228</v>
      </c>
      <c r="E755" s="8" t="s">
        <v>24</v>
      </c>
      <c r="F755" s="8" t="s">
        <v>24</v>
      </c>
      <c r="G755" s="25">
        <v>20</v>
      </c>
      <c r="H755" s="27"/>
      <c r="I755" s="8"/>
      <c r="J755" s="8"/>
      <c r="K755" s="8"/>
      <c r="L755" s="8"/>
      <c r="M755" s="8"/>
      <c r="N755" s="8"/>
      <c r="O755" s="8"/>
      <c r="P755" s="8"/>
    </row>
    <row r="756" spans="1:16" x14ac:dyDescent="0.25">
      <c r="A756" s="8" t="s">
        <v>1874</v>
      </c>
      <c r="B756" s="8" t="s">
        <v>3374</v>
      </c>
      <c r="C756" s="8" t="s">
        <v>3375</v>
      </c>
      <c r="D756" s="29" t="s">
        <v>2228</v>
      </c>
      <c r="E756" s="8" t="s">
        <v>24</v>
      </c>
      <c r="F756" s="8" t="s">
        <v>24</v>
      </c>
      <c r="G756" s="25">
        <v>20</v>
      </c>
      <c r="H756" s="27"/>
      <c r="I756" s="8"/>
      <c r="J756" s="8"/>
      <c r="K756" s="8"/>
      <c r="L756" s="8"/>
      <c r="M756" s="8"/>
      <c r="N756" s="8"/>
      <c r="O756" s="8"/>
      <c r="P756" s="8"/>
    </row>
    <row r="757" spans="1:16" x14ac:dyDescent="0.25">
      <c r="A757" s="8" t="s">
        <v>1874</v>
      </c>
      <c r="B757" s="8" t="s">
        <v>3376</v>
      </c>
      <c r="C757" s="8" t="s">
        <v>3377</v>
      </c>
      <c r="D757" s="29" t="s">
        <v>2228</v>
      </c>
      <c r="E757" s="8" t="s">
        <v>24</v>
      </c>
      <c r="F757" s="8" t="s">
        <v>24</v>
      </c>
      <c r="G757" s="25"/>
      <c r="H757" s="27"/>
      <c r="I757" s="8"/>
      <c r="J757" s="8"/>
      <c r="K757" s="8"/>
      <c r="L757" s="8"/>
      <c r="M757" s="8"/>
      <c r="N757" s="8"/>
      <c r="O757" s="8"/>
      <c r="P757" s="8"/>
    </row>
    <row r="758" spans="1:16" x14ac:dyDescent="0.25">
      <c r="A758" s="8" t="s">
        <v>1914</v>
      </c>
      <c r="B758" s="8" t="s">
        <v>3378</v>
      </c>
      <c r="C758" s="8" t="s">
        <v>3379</v>
      </c>
      <c r="D758" s="29" t="s">
        <v>1917</v>
      </c>
      <c r="E758" s="8" t="s">
        <v>195</v>
      </c>
      <c r="F758" s="8" t="s">
        <v>24</v>
      </c>
      <c r="G758" s="25"/>
      <c r="H758" s="27" t="str">
        <f>HYPERLINK("https://doc.morningstar.com/Document/1e8ca49cfed06b74738c64b32c4b7315.msdoc?clientid=fnz&amp;key=9c0e4d166b60ffd3","TMD")</f>
        <v>TMD</v>
      </c>
      <c r="I758" s="8" t="s">
        <v>25</v>
      </c>
      <c r="J758" s="8" t="s">
        <v>25</v>
      </c>
      <c r="K758" s="8" t="s">
        <v>25</v>
      </c>
      <c r="L758" s="8" t="s">
        <v>25</v>
      </c>
      <c r="M758" s="8" t="s">
        <v>26</v>
      </c>
      <c r="N758" s="8" t="s">
        <v>27</v>
      </c>
      <c r="O758" s="8" t="s">
        <v>27</v>
      </c>
      <c r="P758" s="8" t="s">
        <v>26</v>
      </c>
    </row>
    <row r="759" spans="1:16" x14ac:dyDescent="0.25">
      <c r="A759" s="8" t="s">
        <v>1914</v>
      </c>
      <c r="B759" s="8" t="s">
        <v>3380</v>
      </c>
      <c r="C759" s="8" t="s">
        <v>3381</v>
      </c>
      <c r="D759" s="29" t="s">
        <v>1917</v>
      </c>
      <c r="E759" s="8" t="s">
        <v>195</v>
      </c>
      <c r="F759" s="8" t="s">
        <v>24</v>
      </c>
      <c r="G759" s="25"/>
      <c r="H759" s="27" t="str">
        <f>HYPERLINK("https://doc.morningstar.com/Document/3e90e5839f292efbf24dc995300c35c2.msdoc?clientid=fnz&amp;key=9c0e4d166b60ffd3","TMD")</f>
        <v>TMD</v>
      </c>
      <c r="I759" s="8" t="s">
        <v>25</v>
      </c>
      <c r="J759" s="8" t="s">
        <v>25</v>
      </c>
      <c r="K759" s="8" t="s">
        <v>25</v>
      </c>
      <c r="L759" s="8" t="s">
        <v>25</v>
      </c>
      <c r="M759" s="8" t="s">
        <v>26</v>
      </c>
      <c r="N759" s="8" t="s">
        <v>27</v>
      </c>
      <c r="O759" s="8" t="s">
        <v>27</v>
      </c>
      <c r="P759" s="8" t="s">
        <v>26</v>
      </c>
    </row>
    <row r="760" spans="1:16" x14ac:dyDescent="0.25">
      <c r="A760" s="8" t="s">
        <v>1874</v>
      </c>
      <c r="B760" s="8" t="s">
        <v>3382</v>
      </c>
      <c r="C760" s="8" t="s">
        <v>3383</v>
      </c>
      <c r="D760" s="29" t="s">
        <v>1877</v>
      </c>
      <c r="E760" s="8" t="s">
        <v>24</v>
      </c>
      <c r="F760" s="8" t="s">
        <v>24</v>
      </c>
      <c r="G760" s="25">
        <v>20</v>
      </c>
      <c r="H760" s="27"/>
      <c r="I760" s="8"/>
      <c r="J760" s="8"/>
      <c r="K760" s="8"/>
      <c r="L760" s="8"/>
      <c r="M760" s="8"/>
      <c r="N760" s="8"/>
      <c r="O760" s="8"/>
      <c r="P760" s="8"/>
    </row>
    <row r="761" spans="1:16" x14ac:dyDescent="0.25">
      <c r="A761" s="8" t="s">
        <v>1988</v>
      </c>
      <c r="B761" s="8" t="s">
        <v>3384</v>
      </c>
      <c r="C761" s="8" t="s">
        <v>3385</v>
      </c>
      <c r="D761" s="29" t="s">
        <v>1991</v>
      </c>
      <c r="E761" s="8" t="s">
        <v>24</v>
      </c>
      <c r="F761" s="8" t="s">
        <v>24</v>
      </c>
      <c r="G761" s="25">
        <v>20</v>
      </c>
      <c r="H761" s="27"/>
      <c r="I761" s="8"/>
      <c r="J761" s="8"/>
      <c r="K761" s="8"/>
      <c r="L761" s="8"/>
      <c r="M761" s="8"/>
      <c r="N761" s="8"/>
      <c r="O761" s="8"/>
      <c r="P761" s="8"/>
    </row>
    <row r="762" spans="1:16" x14ac:dyDescent="0.25">
      <c r="A762" s="8" t="s">
        <v>1914</v>
      </c>
      <c r="B762" s="8" t="s">
        <v>3386</v>
      </c>
      <c r="C762" s="8" t="s">
        <v>3387</v>
      </c>
      <c r="D762" s="29" t="s">
        <v>1917</v>
      </c>
      <c r="E762" s="8" t="s">
        <v>195</v>
      </c>
      <c r="F762" s="8" t="s">
        <v>24</v>
      </c>
      <c r="G762" s="25"/>
      <c r="H762" s="27" t="str">
        <f>HYPERLINK("https://doc.morningstar.com/Document/d8fbae3ec4fc1734509dce5827cd89a7.msdoc?clientid=fnz&amp;key=9c0e4d166b60ffd3","TMD")</f>
        <v>TMD</v>
      </c>
      <c r="I762" s="8" t="s">
        <v>25</v>
      </c>
      <c r="J762" s="8" t="s">
        <v>25</v>
      </c>
      <c r="K762" s="8" t="s">
        <v>25</v>
      </c>
      <c r="L762" s="8" t="s">
        <v>25</v>
      </c>
      <c r="M762" s="8" t="s">
        <v>26</v>
      </c>
      <c r="N762" s="8" t="s">
        <v>27</v>
      </c>
      <c r="O762" s="8" t="s">
        <v>27</v>
      </c>
      <c r="P762" s="8" t="s">
        <v>26</v>
      </c>
    </row>
    <row r="763" spans="1:16" x14ac:dyDescent="0.25">
      <c r="A763" s="8" t="s">
        <v>1874</v>
      </c>
      <c r="B763" s="8" t="s">
        <v>3388</v>
      </c>
      <c r="C763" s="8" t="s">
        <v>3389</v>
      </c>
      <c r="D763" s="29" t="s">
        <v>1877</v>
      </c>
      <c r="E763" s="8" t="s">
        <v>24</v>
      </c>
      <c r="F763" s="8" t="s">
        <v>24</v>
      </c>
      <c r="G763" s="25"/>
      <c r="H763" s="27"/>
      <c r="I763" s="8"/>
      <c r="J763" s="8"/>
      <c r="K763" s="8"/>
      <c r="L763" s="8"/>
      <c r="M763" s="8"/>
      <c r="N763" s="8"/>
      <c r="O763" s="8"/>
      <c r="P763" s="8"/>
    </row>
    <row r="764" spans="1:16" x14ac:dyDescent="0.25">
      <c r="A764" s="8" t="s">
        <v>1874</v>
      </c>
      <c r="B764" s="8" t="s">
        <v>3390</v>
      </c>
      <c r="C764" s="8" t="s">
        <v>3391</v>
      </c>
      <c r="D764" s="29" t="s">
        <v>1877</v>
      </c>
      <c r="E764" s="8" t="s">
        <v>195</v>
      </c>
      <c r="F764" s="8" t="s">
        <v>24</v>
      </c>
      <c r="G764" s="25"/>
      <c r="H764" s="27"/>
      <c r="I764" s="8"/>
      <c r="J764" s="8"/>
      <c r="K764" s="8"/>
      <c r="L764" s="8"/>
      <c r="M764" s="8"/>
      <c r="N764" s="8"/>
      <c r="O764" s="8"/>
      <c r="P764" s="8"/>
    </row>
    <row r="765" spans="1:16" x14ac:dyDescent="0.25">
      <c r="A765" s="8" t="s">
        <v>1874</v>
      </c>
      <c r="B765" s="8" t="s">
        <v>3392</v>
      </c>
      <c r="C765" s="8" t="s">
        <v>3393</v>
      </c>
      <c r="D765" s="29" t="s">
        <v>1877</v>
      </c>
      <c r="E765" s="8" t="s">
        <v>195</v>
      </c>
      <c r="F765" s="8" t="s">
        <v>24</v>
      </c>
      <c r="G765" s="25"/>
      <c r="H765" s="27"/>
      <c r="I765" s="8"/>
      <c r="J765" s="8"/>
      <c r="K765" s="8"/>
      <c r="L765" s="8"/>
      <c r="M765" s="8"/>
      <c r="N765" s="8"/>
      <c r="O765" s="8"/>
      <c r="P765" s="8"/>
    </row>
    <row r="766" spans="1:16" x14ac:dyDescent="0.25">
      <c r="A766" s="8" t="s">
        <v>1914</v>
      </c>
      <c r="B766" s="8" t="s">
        <v>3394</v>
      </c>
      <c r="C766" s="8" t="s">
        <v>3395</v>
      </c>
      <c r="D766" s="29" t="s">
        <v>1917</v>
      </c>
      <c r="E766" s="8" t="s">
        <v>195</v>
      </c>
      <c r="F766" s="8" t="s">
        <v>24</v>
      </c>
      <c r="G766" s="25"/>
      <c r="H766" s="27" t="str">
        <f>HYPERLINK("https://doc.morningstar.com/Document/e458a19e03c4fc08ea45dfaa116f181f.msdoc?clientid=fnz&amp;key=9c0e4d166b60ffd3","TMD")</f>
        <v>TMD</v>
      </c>
      <c r="I766" s="8" t="s">
        <v>25</v>
      </c>
      <c r="J766" s="8" t="s">
        <v>26</v>
      </c>
      <c r="K766" s="8" t="s">
        <v>216</v>
      </c>
      <c r="L766" s="8" t="s">
        <v>27</v>
      </c>
      <c r="M766" s="8" t="s">
        <v>26</v>
      </c>
      <c r="N766" s="8" t="s">
        <v>216</v>
      </c>
      <c r="O766" s="8" t="s">
        <v>27</v>
      </c>
      <c r="P766" s="8" t="s">
        <v>27</v>
      </c>
    </row>
    <row r="767" spans="1:16" x14ac:dyDescent="0.25">
      <c r="A767" s="8" t="s">
        <v>1874</v>
      </c>
      <c r="B767" s="8" t="s">
        <v>3396</v>
      </c>
      <c r="C767" s="8" t="s">
        <v>3397</v>
      </c>
      <c r="D767" s="29" t="s">
        <v>1877</v>
      </c>
      <c r="E767" s="8" t="s">
        <v>24</v>
      </c>
      <c r="F767" s="8" t="s">
        <v>24</v>
      </c>
      <c r="G767" s="25"/>
      <c r="H767" s="27"/>
      <c r="I767" s="8"/>
      <c r="J767" s="8"/>
      <c r="K767" s="8"/>
      <c r="L767" s="8"/>
      <c r="M767" s="8"/>
      <c r="N767" s="8"/>
      <c r="O767" s="8"/>
      <c r="P767" s="8"/>
    </row>
    <row r="768" spans="1:16" x14ac:dyDescent="0.25">
      <c r="A768" s="8" t="s">
        <v>1874</v>
      </c>
      <c r="B768" s="8" t="s">
        <v>3398</v>
      </c>
      <c r="C768" s="8" t="s">
        <v>3399</v>
      </c>
      <c r="D768" s="29" t="s">
        <v>1913</v>
      </c>
      <c r="E768" s="8" t="s">
        <v>195</v>
      </c>
      <c r="F768" s="8" t="s">
        <v>24</v>
      </c>
      <c r="G768" s="25"/>
      <c r="H768" s="27"/>
      <c r="I768" s="8"/>
      <c r="J768" s="8"/>
      <c r="K768" s="8"/>
      <c r="L768" s="8"/>
      <c r="M768" s="8"/>
      <c r="N768" s="8"/>
      <c r="O768" s="8"/>
      <c r="P768" s="8"/>
    </row>
    <row r="769" spans="1:16" x14ac:dyDescent="0.25">
      <c r="A769" s="8" t="s">
        <v>1914</v>
      </c>
      <c r="B769" s="8" t="s">
        <v>3400</v>
      </c>
      <c r="C769" s="8" t="s">
        <v>3401</v>
      </c>
      <c r="D769" s="29" t="s">
        <v>1917</v>
      </c>
      <c r="E769" s="8" t="s">
        <v>24</v>
      </c>
      <c r="F769" s="8" t="s">
        <v>24</v>
      </c>
      <c r="G769" s="25">
        <v>100</v>
      </c>
      <c r="H769" s="27" t="str">
        <f>HYPERLINK("https://doc.morningstar.com/Document/c809ea31af9cfc472ade9f4de2656039.msdoc?clientid=fnz&amp;key=9c0e4d166b60ffd3","TMD")</f>
        <v>TMD</v>
      </c>
      <c r="I769" s="8" t="s">
        <v>25</v>
      </c>
      <c r="J769" s="8" t="s">
        <v>25</v>
      </c>
      <c r="K769" s="8" t="s">
        <v>25</v>
      </c>
      <c r="L769" s="8" t="s">
        <v>25</v>
      </c>
      <c r="M769" s="8" t="s">
        <v>26</v>
      </c>
      <c r="N769" s="8" t="s">
        <v>26</v>
      </c>
      <c r="O769" s="8" t="s">
        <v>27</v>
      </c>
      <c r="P769" s="8" t="s">
        <v>27</v>
      </c>
    </row>
    <row r="770" spans="1:16" x14ac:dyDescent="0.25">
      <c r="A770" s="8" t="s">
        <v>1914</v>
      </c>
      <c r="B770" s="8" t="s">
        <v>3402</v>
      </c>
      <c r="C770" s="8" t="s">
        <v>3403</v>
      </c>
      <c r="D770" s="29" t="s">
        <v>1917</v>
      </c>
      <c r="E770" s="8" t="s">
        <v>24</v>
      </c>
      <c r="F770" s="8" t="s">
        <v>24</v>
      </c>
      <c r="G770" s="25">
        <v>100</v>
      </c>
      <c r="H770" s="27" t="str">
        <f>HYPERLINK("https://doc.morningstar.com/Document/7619b2654e301234142c304eda8ce884.msdoc?clientid=fnz&amp;key=9c0e4d166b60ffd3","TMD")</f>
        <v>TMD</v>
      </c>
      <c r="I770" s="8" t="s">
        <v>25</v>
      </c>
      <c r="J770" s="8" t="s">
        <v>25</v>
      </c>
      <c r="K770" s="8" t="s">
        <v>25</v>
      </c>
      <c r="L770" s="8" t="s">
        <v>25</v>
      </c>
      <c r="M770" s="8" t="s">
        <v>26</v>
      </c>
      <c r="N770" s="8" t="s">
        <v>26</v>
      </c>
      <c r="O770" s="8" t="s">
        <v>27</v>
      </c>
      <c r="P770" s="8" t="s">
        <v>27</v>
      </c>
    </row>
    <row r="771" spans="1:16" x14ac:dyDescent="0.25">
      <c r="A771" s="8" t="s">
        <v>1914</v>
      </c>
      <c r="B771" s="8" t="s">
        <v>3404</v>
      </c>
      <c r="C771" s="8" t="s">
        <v>3405</v>
      </c>
      <c r="D771" s="29" t="s">
        <v>1917</v>
      </c>
      <c r="E771" s="8" t="s">
        <v>24</v>
      </c>
      <c r="F771" s="8" t="s">
        <v>24</v>
      </c>
      <c r="G771" s="25">
        <v>100</v>
      </c>
      <c r="H771" s="27" t="str">
        <f>HYPERLINK("https://doc.morningstar.com/Document/13c80db254ca9f6eafe4b75fb665358a.msdoc?clientid=fnz&amp;key=9c0e4d166b60ffd3","TMD")</f>
        <v>TMD</v>
      </c>
      <c r="I771" s="8" t="s">
        <v>25</v>
      </c>
      <c r="J771" s="8" t="s">
        <v>25</v>
      </c>
      <c r="K771" s="8" t="s">
        <v>25</v>
      </c>
      <c r="L771" s="8" t="s">
        <v>25</v>
      </c>
      <c r="M771" s="8" t="s">
        <v>26</v>
      </c>
      <c r="N771" s="8" t="s">
        <v>26</v>
      </c>
      <c r="O771" s="8" t="s">
        <v>27</v>
      </c>
      <c r="P771" s="8" t="s">
        <v>27</v>
      </c>
    </row>
    <row r="772" spans="1:16" x14ac:dyDescent="0.25">
      <c r="A772" s="8" t="s">
        <v>1914</v>
      </c>
      <c r="B772" s="8" t="s">
        <v>3406</v>
      </c>
      <c r="C772" s="8" t="s">
        <v>3407</v>
      </c>
      <c r="D772" s="29" t="s">
        <v>1917</v>
      </c>
      <c r="E772" s="8" t="s">
        <v>24</v>
      </c>
      <c r="F772" s="8" t="s">
        <v>24</v>
      </c>
      <c r="G772" s="25">
        <v>50</v>
      </c>
      <c r="H772" s="27" t="str">
        <f>HYPERLINK("https://doc.morningstar.com/Document/a085a0687aa76d81a8edf4519cdd6c07.msdoc?clientid=fnz&amp;key=9c0e4d166b60ffd3","TMD")</f>
        <v>TMD</v>
      </c>
      <c r="I772" s="8" t="s">
        <v>25</v>
      </c>
      <c r="J772" s="8" t="s">
        <v>25</v>
      </c>
      <c r="K772" s="8" t="s">
        <v>25</v>
      </c>
      <c r="L772" s="8" t="s">
        <v>25</v>
      </c>
      <c r="M772" s="8" t="s">
        <v>26</v>
      </c>
      <c r="N772" s="8" t="s">
        <v>26</v>
      </c>
      <c r="O772" s="8" t="s">
        <v>27</v>
      </c>
      <c r="P772" s="8" t="s">
        <v>27</v>
      </c>
    </row>
    <row r="773" spans="1:16" x14ac:dyDescent="0.25">
      <c r="A773" s="8" t="s">
        <v>1874</v>
      </c>
      <c r="B773" s="8" t="s">
        <v>3408</v>
      </c>
      <c r="C773" s="8" t="s">
        <v>3409</v>
      </c>
      <c r="D773" s="29" t="s">
        <v>1877</v>
      </c>
      <c r="E773" s="8" t="s">
        <v>195</v>
      </c>
      <c r="F773" s="8" t="s">
        <v>24</v>
      </c>
      <c r="G773" s="25"/>
      <c r="H773" s="27"/>
      <c r="I773" s="8"/>
      <c r="J773" s="8"/>
      <c r="K773" s="8"/>
      <c r="L773" s="8"/>
      <c r="M773" s="8"/>
      <c r="N773" s="8"/>
      <c r="O773" s="8"/>
      <c r="P773" s="8"/>
    </row>
    <row r="774" spans="1:16" x14ac:dyDescent="0.25">
      <c r="A774" s="8" t="s">
        <v>1874</v>
      </c>
      <c r="B774" s="8" t="s">
        <v>3410</v>
      </c>
      <c r="C774" s="8" t="s">
        <v>3411</v>
      </c>
      <c r="D774" s="29" t="s">
        <v>1877</v>
      </c>
      <c r="E774" s="8" t="s">
        <v>195</v>
      </c>
      <c r="F774" s="8" t="s">
        <v>24</v>
      </c>
      <c r="G774" s="25"/>
      <c r="H774" s="27"/>
      <c r="I774" s="8"/>
      <c r="J774" s="8"/>
      <c r="K774" s="8"/>
      <c r="L774" s="8"/>
      <c r="M774" s="8"/>
      <c r="N774" s="8"/>
      <c r="O774" s="8"/>
      <c r="P774" s="8"/>
    </row>
    <row r="775" spans="1:16" x14ac:dyDescent="0.25">
      <c r="A775" s="8" t="s">
        <v>1874</v>
      </c>
      <c r="B775" s="8" t="s">
        <v>3412</v>
      </c>
      <c r="C775" s="8" t="s">
        <v>3413</v>
      </c>
      <c r="D775" s="29" t="s">
        <v>1877</v>
      </c>
      <c r="E775" s="8" t="s">
        <v>195</v>
      </c>
      <c r="F775" s="8" t="s">
        <v>24</v>
      </c>
      <c r="G775" s="25"/>
      <c r="H775" s="27"/>
      <c r="I775" s="8"/>
      <c r="J775" s="8"/>
      <c r="K775" s="8"/>
      <c r="L775" s="8"/>
      <c r="M775" s="8"/>
      <c r="N775" s="8"/>
      <c r="O775" s="8"/>
      <c r="P775" s="8"/>
    </row>
    <row r="776" spans="1:16" x14ac:dyDescent="0.25">
      <c r="A776" s="8" t="s">
        <v>1874</v>
      </c>
      <c r="B776" s="8" t="s">
        <v>3414</v>
      </c>
      <c r="C776" s="8" t="s">
        <v>3415</v>
      </c>
      <c r="D776" s="29" t="s">
        <v>1877</v>
      </c>
      <c r="E776" s="8" t="s">
        <v>195</v>
      </c>
      <c r="F776" s="8" t="s">
        <v>24</v>
      </c>
      <c r="G776" s="25"/>
      <c r="H776" s="27"/>
      <c r="I776" s="8"/>
      <c r="J776" s="8"/>
      <c r="K776" s="8"/>
      <c r="L776" s="8"/>
      <c r="M776" s="8"/>
      <c r="N776" s="8"/>
      <c r="O776" s="8"/>
      <c r="P776" s="8"/>
    </row>
    <row r="777" spans="1:16" x14ac:dyDescent="0.25">
      <c r="A777" s="8" t="s">
        <v>1874</v>
      </c>
      <c r="B777" s="8" t="s">
        <v>3416</v>
      </c>
      <c r="C777" s="8" t="s">
        <v>3417</v>
      </c>
      <c r="D777" s="29" t="s">
        <v>1877</v>
      </c>
      <c r="E777" s="8" t="s">
        <v>24</v>
      </c>
      <c r="F777" s="8" t="s">
        <v>24</v>
      </c>
      <c r="G777" s="25"/>
      <c r="H777" s="27"/>
      <c r="I777" s="8"/>
      <c r="J777" s="8"/>
      <c r="K777" s="8"/>
      <c r="L777" s="8"/>
      <c r="M777" s="8"/>
      <c r="N777" s="8"/>
      <c r="O777" s="8"/>
      <c r="P777" s="8"/>
    </row>
    <row r="778" spans="1:16" x14ac:dyDescent="0.25">
      <c r="A778" s="8" t="s">
        <v>1874</v>
      </c>
      <c r="B778" s="8" t="s">
        <v>3418</v>
      </c>
      <c r="C778" s="8" t="s">
        <v>3419</v>
      </c>
      <c r="D778" s="29" t="s">
        <v>1877</v>
      </c>
      <c r="E778" s="8" t="s">
        <v>24</v>
      </c>
      <c r="F778" s="8" t="s">
        <v>24</v>
      </c>
      <c r="G778" s="25"/>
      <c r="H778" s="27"/>
      <c r="I778" s="8"/>
      <c r="J778" s="8"/>
      <c r="K778" s="8"/>
      <c r="L778" s="8"/>
      <c r="M778" s="8"/>
      <c r="N778" s="8"/>
      <c r="O778" s="8"/>
      <c r="P778" s="8"/>
    </row>
    <row r="779" spans="1:16" x14ac:dyDescent="0.25">
      <c r="A779" s="8" t="s">
        <v>1874</v>
      </c>
      <c r="B779" s="8" t="s">
        <v>3420</v>
      </c>
      <c r="C779" s="8" t="s">
        <v>3421</v>
      </c>
      <c r="D779" s="29" t="s">
        <v>1877</v>
      </c>
      <c r="E779" s="8" t="s">
        <v>195</v>
      </c>
      <c r="F779" s="8" t="s">
        <v>24</v>
      </c>
      <c r="G779" s="25"/>
      <c r="H779" s="27"/>
      <c r="I779" s="8"/>
      <c r="J779" s="8"/>
      <c r="K779" s="8"/>
      <c r="L779" s="8"/>
      <c r="M779" s="8"/>
      <c r="N779" s="8"/>
      <c r="O779" s="8"/>
      <c r="P779" s="8"/>
    </row>
    <row r="780" spans="1:16" x14ac:dyDescent="0.25">
      <c r="A780" s="8" t="s">
        <v>1874</v>
      </c>
      <c r="B780" s="8" t="s">
        <v>3422</v>
      </c>
      <c r="C780" s="8" t="s">
        <v>3423</v>
      </c>
      <c r="D780" s="29" t="s">
        <v>1877</v>
      </c>
      <c r="E780" s="8" t="s">
        <v>195</v>
      </c>
      <c r="F780" s="8" t="s">
        <v>24</v>
      </c>
      <c r="G780" s="25"/>
      <c r="H780" s="27"/>
      <c r="I780" s="8"/>
      <c r="J780" s="8"/>
      <c r="K780" s="8"/>
      <c r="L780" s="8"/>
      <c r="M780" s="8"/>
      <c r="N780" s="8"/>
      <c r="O780" s="8"/>
      <c r="P780" s="8"/>
    </row>
    <row r="781" spans="1:16" x14ac:dyDescent="0.25">
      <c r="A781" s="8" t="s">
        <v>1874</v>
      </c>
      <c r="B781" s="8" t="s">
        <v>3424</v>
      </c>
      <c r="C781" s="8" t="s">
        <v>3425</v>
      </c>
      <c r="D781" s="29" t="s">
        <v>1877</v>
      </c>
      <c r="E781" s="8" t="s">
        <v>195</v>
      </c>
      <c r="F781" s="8" t="s">
        <v>24</v>
      </c>
      <c r="G781" s="25"/>
      <c r="H781" s="27"/>
      <c r="I781" s="8"/>
      <c r="J781" s="8"/>
      <c r="K781" s="8"/>
      <c r="L781" s="8"/>
      <c r="M781" s="8"/>
      <c r="N781" s="8"/>
      <c r="O781" s="8"/>
      <c r="P781" s="8"/>
    </row>
    <row r="782" spans="1:16" x14ac:dyDescent="0.25">
      <c r="A782" s="8" t="s">
        <v>1874</v>
      </c>
      <c r="B782" s="8" t="s">
        <v>3426</v>
      </c>
      <c r="C782" s="8" t="s">
        <v>3427</v>
      </c>
      <c r="D782" s="29" t="s">
        <v>1877</v>
      </c>
      <c r="E782" s="8" t="s">
        <v>24</v>
      </c>
      <c r="F782" s="8" t="s">
        <v>24</v>
      </c>
      <c r="G782" s="25"/>
      <c r="H782" s="27"/>
      <c r="I782" s="8"/>
      <c r="J782" s="8"/>
      <c r="K782" s="8"/>
      <c r="L782" s="8"/>
      <c r="M782" s="8"/>
      <c r="N782" s="8"/>
      <c r="O782" s="8"/>
      <c r="P782" s="8"/>
    </row>
    <row r="783" spans="1:16" x14ac:dyDescent="0.25">
      <c r="A783" s="8" t="s">
        <v>1874</v>
      </c>
      <c r="B783" s="8" t="s">
        <v>3428</v>
      </c>
      <c r="C783" s="8" t="s">
        <v>3429</v>
      </c>
      <c r="D783" s="29" t="s">
        <v>1877</v>
      </c>
      <c r="E783" s="8" t="s">
        <v>195</v>
      </c>
      <c r="F783" s="8" t="s">
        <v>24</v>
      </c>
      <c r="G783" s="25"/>
      <c r="H783" s="27"/>
      <c r="I783" s="8"/>
      <c r="J783" s="8"/>
      <c r="K783" s="8"/>
      <c r="L783" s="8"/>
      <c r="M783" s="8"/>
      <c r="N783" s="8"/>
      <c r="O783" s="8"/>
      <c r="P783" s="8"/>
    </row>
    <row r="784" spans="1:16" x14ac:dyDescent="0.25">
      <c r="A784" s="8" t="s">
        <v>1874</v>
      </c>
      <c r="B784" s="8" t="s">
        <v>3430</v>
      </c>
      <c r="C784" s="8" t="s">
        <v>3431</v>
      </c>
      <c r="D784" s="29" t="s">
        <v>1877</v>
      </c>
      <c r="E784" s="8" t="s">
        <v>195</v>
      </c>
      <c r="F784" s="8" t="s">
        <v>24</v>
      </c>
      <c r="G784" s="25"/>
      <c r="H784" s="27"/>
      <c r="I784" s="8"/>
      <c r="J784" s="8"/>
      <c r="K784" s="8"/>
      <c r="L784" s="8"/>
      <c r="M784" s="8"/>
      <c r="N784" s="8"/>
      <c r="O784" s="8"/>
      <c r="P784" s="8"/>
    </row>
    <row r="785" spans="1:16" x14ac:dyDescent="0.25">
      <c r="A785" s="8" t="s">
        <v>1874</v>
      </c>
      <c r="B785" s="8" t="s">
        <v>3432</v>
      </c>
      <c r="C785" s="8" t="s">
        <v>3433</v>
      </c>
      <c r="D785" s="29" t="s">
        <v>1877</v>
      </c>
      <c r="E785" s="8" t="s">
        <v>24</v>
      </c>
      <c r="F785" s="8" t="s">
        <v>24</v>
      </c>
      <c r="G785" s="25"/>
      <c r="H785" s="27"/>
      <c r="I785" s="8"/>
      <c r="J785" s="8"/>
      <c r="K785" s="8"/>
      <c r="L785" s="8"/>
      <c r="M785" s="8"/>
      <c r="N785" s="8"/>
      <c r="O785" s="8"/>
      <c r="P785" s="8"/>
    </row>
    <row r="786" spans="1:16" x14ac:dyDescent="0.25">
      <c r="A786" s="8" t="s">
        <v>1874</v>
      </c>
      <c r="B786" s="8" t="s">
        <v>3434</v>
      </c>
      <c r="C786" s="8" t="s">
        <v>3435</v>
      </c>
      <c r="D786" s="29" t="s">
        <v>1877</v>
      </c>
      <c r="E786" s="8" t="s">
        <v>195</v>
      </c>
      <c r="F786" s="8" t="s">
        <v>24</v>
      </c>
      <c r="G786" s="25"/>
      <c r="H786" s="27"/>
      <c r="I786" s="8"/>
      <c r="J786" s="8"/>
      <c r="K786" s="8"/>
      <c r="L786" s="8"/>
      <c r="M786" s="8"/>
      <c r="N786" s="8"/>
      <c r="O786" s="8"/>
      <c r="P786" s="8"/>
    </row>
    <row r="787" spans="1:16" s="5" customFormat="1" x14ac:dyDescent="0.25">
      <c r="A787" s="5" t="s">
        <v>1874</v>
      </c>
      <c r="B787" s="5" t="s">
        <v>3436</v>
      </c>
      <c r="C787" s="5" t="s">
        <v>3437</v>
      </c>
      <c r="D787" s="5" t="s">
        <v>1877</v>
      </c>
      <c r="E787" s="5" t="s">
        <v>195</v>
      </c>
      <c r="F787" s="5" t="s">
        <v>24</v>
      </c>
      <c r="G787" s="25"/>
      <c r="H787" s="10"/>
    </row>
    <row r="788" spans="1:16" s="5" customFormat="1" x14ac:dyDescent="0.25">
      <c r="A788" s="5" t="s">
        <v>1874</v>
      </c>
      <c r="B788" s="5" t="s">
        <v>3438</v>
      </c>
      <c r="C788" s="5" t="s">
        <v>3439</v>
      </c>
      <c r="D788" s="5" t="s">
        <v>1877</v>
      </c>
      <c r="E788" s="5" t="s">
        <v>195</v>
      </c>
      <c r="F788" s="5" t="s">
        <v>24</v>
      </c>
      <c r="G788" s="25"/>
      <c r="H788" s="10"/>
    </row>
    <row r="789" spans="1:16" s="5" customFormat="1" x14ac:dyDescent="0.25">
      <c r="A789" s="5" t="s">
        <v>1874</v>
      </c>
      <c r="B789" s="5" t="s">
        <v>3440</v>
      </c>
      <c r="C789" s="5" t="s">
        <v>3441</v>
      </c>
      <c r="D789" s="5" t="s">
        <v>1877</v>
      </c>
      <c r="E789" s="5" t="s">
        <v>24</v>
      </c>
      <c r="F789" s="5" t="s">
        <v>24</v>
      </c>
      <c r="G789" s="25"/>
      <c r="H789" s="10"/>
    </row>
    <row r="790" spans="1:16" s="5" customFormat="1" x14ac:dyDescent="0.25">
      <c r="A790" s="5" t="s">
        <v>1874</v>
      </c>
      <c r="B790" s="5" t="s">
        <v>3442</v>
      </c>
      <c r="C790" s="5" t="s">
        <v>3443</v>
      </c>
      <c r="D790" s="5" t="s">
        <v>1877</v>
      </c>
      <c r="E790" s="5" t="s">
        <v>195</v>
      </c>
      <c r="F790" s="5" t="s">
        <v>24</v>
      </c>
      <c r="G790" s="25"/>
      <c r="H790" s="10"/>
    </row>
    <row r="791" spans="1:16" s="5" customFormat="1" x14ac:dyDescent="0.25">
      <c r="A791" s="5" t="s">
        <v>1874</v>
      </c>
      <c r="B791" s="5" t="s">
        <v>3444</v>
      </c>
      <c r="C791" s="5" t="s">
        <v>3445</v>
      </c>
      <c r="D791" s="5" t="s">
        <v>1894</v>
      </c>
      <c r="E791" s="5" t="s">
        <v>24</v>
      </c>
      <c r="F791" s="5" t="s">
        <v>24</v>
      </c>
      <c r="G791" s="25"/>
      <c r="H791" s="10"/>
    </row>
    <row r="792" spans="1:16" s="5" customFormat="1" x14ac:dyDescent="0.25">
      <c r="A792" s="5" t="s">
        <v>1874</v>
      </c>
      <c r="B792" s="5" t="s">
        <v>3446</v>
      </c>
      <c r="C792" s="5" t="s">
        <v>3447</v>
      </c>
      <c r="D792" s="5" t="s">
        <v>1877</v>
      </c>
      <c r="E792" s="5" t="s">
        <v>195</v>
      </c>
      <c r="F792" s="5" t="s">
        <v>24</v>
      </c>
      <c r="G792" s="25"/>
      <c r="H792" s="10"/>
    </row>
    <row r="793" spans="1:16" s="5" customFormat="1" x14ac:dyDescent="0.25">
      <c r="A793" s="5" t="s">
        <v>1874</v>
      </c>
      <c r="B793" s="5" t="s">
        <v>3448</v>
      </c>
      <c r="C793" s="5" t="s">
        <v>3449</v>
      </c>
      <c r="D793" s="5" t="s">
        <v>1877</v>
      </c>
      <c r="E793" s="5" t="s">
        <v>195</v>
      </c>
      <c r="F793" s="5" t="s">
        <v>24</v>
      </c>
      <c r="G793" s="25"/>
      <c r="H793" s="10"/>
    </row>
    <row r="794" spans="1:16" s="5" customFormat="1" x14ac:dyDescent="0.25">
      <c r="A794" s="5" t="s">
        <v>1874</v>
      </c>
      <c r="B794" s="5" t="s">
        <v>3450</v>
      </c>
      <c r="C794" s="5" t="s">
        <v>3451</v>
      </c>
      <c r="D794" s="5" t="s">
        <v>1877</v>
      </c>
      <c r="E794" s="5" t="s">
        <v>24</v>
      </c>
      <c r="F794" s="5" t="s">
        <v>24</v>
      </c>
      <c r="G794" s="25"/>
      <c r="H794" s="10"/>
    </row>
    <row r="795" spans="1:16" s="5" customFormat="1" x14ac:dyDescent="0.25">
      <c r="A795" s="5" t="s">
        <v>1874</v>
      </c>
      <c r="B795" s="5" t="s">
        <v>3452</v>
      </c>
      <c r="C795" s="5" t="s">
        <v>3453</v>
      </c>
      <c r="D795" s="5" t="s">
        <v>1877</v>
      </c>
      <c r="E795" s="5" t="s">
        <v>195</v>
      </c>
      <c r="F795" s="5" t="s">
        <v>24</v>
      </c>
      <c r="G795" s="25"/>
      <c r="H795" s="10"/>
    </row>
    <row r="796" spans="1:16" s="5" customFormat="1" x14ac:dyDescent="0.25">
      <c r="A796" s="5" t="s">
        <v>1874</v>
      </c>
      <c r="B796" s="5" t="s">
        <v>3454</v>
      </c>
      <c r="C796" s="5" t="s">
        <v>3455</v>
      </c>
      <c r="D796" s="5" t="s">
        <v>1877</v>
      </c>
      <c r="E796" s="5" t="s">
        <v>24</v>
      </c>
      <c r="F796" s="5" t="s">
        <v>24</v>
      </c>
      <c r="G796" s="25">
        <v>100</v>
      </c>
      <c r="H796" s="10"/>
    </row>
    <row r="797" spans="1:16" s="5" customFormat="1" x14ac:dyDescent="0.25">
      <c r="A797" s="5" t="s">
        <v>1914</v>
      </c>
      <c r="B797" s="5" t="s">
        <v>3456</v>
      </c>
      <c r="C797" s="5" t="s">
        <v>3457</v>
      </c>
      <c r="D797" s="5" t="s">
        <v>1917</v>
      </c>
      <c r="E797" s="5" t="s">
        <v>24</v>
      </c>
      <c r="F797" s="5" t="s">
        <v>24</v>
      </c>
      <c r="G797" s="25">
        <v>100</v>
      </c>
      <c r="H797" s="10" t="str">
        <f>HYPERLINK("https://doc.morningstar.com/Document/0dc01f13dc81629c9c3bb07de11e3a94.msdoc?clientid=fnz&amp;key=9c0e4d166b60ffd3","TMD")</f>
        <v>TMD</v>
      </c>
      <c r="I797" s="5" t="s">
        <v>25</v>
      </c>
      <c r="J797" s="5" t="s">
        <v>25</v>
      </c>
      <c r="K797" s="5" t="s">
        <v>25</v>
      </c>
      <c r="L797" s="5" t="s">
        <v>25</v>
      </c>
      <c r="M797" s="5" t="s">
        <v>26</v>
      </c>
      <c r="N797" s="5" t="s">
        <v>27</v>
      </c>
      <c r="O797" s="5" t="s">
        <v>26</v>
      </c>
      <c r="P797" s="5" t="s">
        <v>26</v>
      </c>
    </row>
    <row r="798" spans="1:16" s="5" customFormat="1" x14ac:dyDescent="0.25">
      <c r="A798" s="5" t="s">
        <v>1878</v>
      </c>
      <c r="B798" s="5" t="s">
        <v>3458</v>
      </c>
      <c r="C798" s="5" t="s">
        <v>3459</v>
      </c>
      <c r="D798" s="5" t="s">
        <v>2030</v>
      </c>
      <c r="E798" s="5" t="s">
        <v>24</v>
      </c>
      <c r="F798" s="5" t="s">
        <v>24</v>
      </c>
      <c r="G798" s="25"/>
      <c r="H798" s="10"/>
    </row>
    <row r="799" spans="1:16" s="5" customFormat="1" x14ac:dyDescent="0.25">
      <c r="A799" s="5" t="s">
        <v>1874</v>
      </c>
      <c r="B799" s="5" t="s">
        <v>3460</v>
      </c>
      <c r="C799" s="5" t="s">
        <v>3461</v>
      </c>
      <c r="D799" s="5" t="s">
        <v>1877</v>
      </c>
      <c r="E799" s="5" t="s">
        <v>195</v>
      </c>
      <c r="F799" s="5" t="s">
        <v>24</v>
      </c>
      <c r="G799" s="25"/>
      <c r="H799" s="10"/>
    </row>
    <row r="800" spans="1:16" s="5" customFormat="1" x14ac:dyDescent="0.25">
      <c r="A800" s="5" t="s">
        <v>1874</v>
      </c>
      <c r="B800" s="5" t="s">
        <v>3462</v>
      </c>
      <c r="C800" s="5" t="s">
        <v>3463</v>
      </c>
      <c r="D800" s="5" t="s">
        <v>1877</v>
      </c>
      <c r="E800" s="5" t="s">
        <v>195</v>
      </c>
      <c r="F800" s="5" t="s">
        <v>24</v>
      </c>
      <c r="G800" s="25">
        <v>100</v>
      </c>
      <c r="H800" s="10"/>
    </row>
    <row r="801" spans="1:16" s="5" customFormat="1" x14ac:dyDescent="0.25">
      <c r="A801" s="5" t="s">
        <v>1874</v>
      </c>
      <c r="B801" s="5" t="s">
        <v>3464</v>
      </c>
      <c r="C801" s="5" t="s">
        <v>3465</v>
      </c>
      <c r="D801" s="5" t="s">
        <v>1877</v>
      </c>
      <c r="E801" s="5" t="s">
        <v>195</v>
      </c>
      <c r="F801" s="5" t="s">
        <v>24</v>
      </c>
      <c r="G801" s="25"/>
      <c r="H801" s="10"/>
    </row>
    <row r="802" spans="1:16" s="5" customFormat="1" x14ac:dyDescent="0.25">
      <c r="A802" s="5" t="s">
        <v>1874</v>
      </c>
      <c r="B802" s="5" t="s">
        <v>3466</v>
      </c>
      <c r="C802" s="5" t="s">
        <v>3467</v>
      </c>
      <c r="D802" s="5" t="s">
        <v>1877</v>
      </c>
      <c r="E802" s="5" t="s">
        <v>195</v>
      </c>
      <c r="F802" s="5" t="s">
        <v>24</v>
      </c>
      <c r="G802" s="25"/>
      <c r="H802" s="10"/>
    </row>
    <row r="803" spans="1:16" s="5" customFormat="1" x14ac:dyDescent="0.25">
      <c r="A803" s="5" t="s">
        <v>1874</v>
      </c>
      <c r="B803" s="5" t="s">
        <v>3468</v>
      </c>
      <c r="C803" s="5" t="s">
        <v>3469</v>
      </c>
      <c r="D803" s="5" t="s">
        <v>1877</v>
      </c>
      <c r="E803" s="5" t="s">
        <v>195</v>
      </c>
      <c r="F803" s="5" t="s">
        <v>24</v>
      </c>
      <c r="G803" s="25"/>
      <c r="H803" s="10"/>
    </row>
    <row r="804" spans="1:16" s="5" customFormat="1" x14ac:dyDescent="0.25">
      <c r="A804" s="5" t="s">
        <v>1874</v>
      </c>
      <c r="B804" s="5" t="s">
        <v>3470</v>
      </c>
      <c r="C804" s="5" t="s">
        <v>3471</v>
      </c>
      <c r="D804" s="5" t="s">
        <v>1877</v>
      </c>
      <c r="E804" s="5" t="s">
        <v>195</v>
      </c>
      <c r="F804" s="5" t="s">
        <v>24</v>
      </c>
      <c r="G804" s="25"/>
      <c r="H804" s="10"/>
    </row>
    <row r="805" spans="1:16" s="5" customFormat="1" x14ac:dyDescent="0.25">
      <c r="A805" s="5" t="s">
        <v>1914</v>
      </c>
      <c r="B805" s="5" t="s">
        <v>3472</v>
      </c>
      <c r="C805" s="5" t="s">
        <v>3473</v>
      </c>
      <c r="D805" s="5" t="s">
        <v>1917</v>
      </c>
      <c r="E805" s="5" t="s">
        <v>24</v>
      </c>
      <c r="F805" s="5" t="s">
        <v>24</v>
      </c>
      <c r="G805" s="25"/>
      <c r="H805" s="10" t="str">
        <f>HYPERLINK("https://doc.morningstar.com/Document/fb15d2ec183cd7d4d94dbf1b218de8fa.msdoc?clientid=fnz&amp;key=9c0e4d166b60ffd3","TMD")</f>
        <v>TMD</v>
      </c>
      <c r="I805" s="5" t="s">
        <v>25</v>
      </c>
      <c r="J805" s="5" t="s">
        <v>25</v>
      </c>
      <c r="K805" s="5" t="s">
        <v>25</v>
      </c>
      <c r="L805" s="5" t="s">
        <v>25</v>
      </c>
      <c r="M805" s="5" t="s">
        <v>26</v>
      </c>
      <c r="N805" s="5" t="s">
        <v>27</v>
      </c>
      <c r="O805" s="5" t="s">
        <v>27</v>
      </c>
      <c r="P805" s="5" t="s">
        <v>26</v>
      </c>
    </row>
    <row r="806" spans="1:16" s="5" customFormat="1" x14ac:dyDescent="0.25">
      <c r="A806" s="5" t="s">
        <v>1874</v>
      </c>
      <c r="B806" s="5" t="s">
        <v>3474</v>
      </c>
      <c r="C806" s="5" t="s">
        <v>3475</v>
      </c>
      <c r="D806" s="5" t="s">
        <v>1877</v>
      </c>
      <c r="E806" s="5" t="s">
        <v>24</v>
      </c>
      <c r="F806" s="5" t="s">
        <v>24</v>
      </c>
      <c r="G806" s="25"/>
      <c r="H806" s="10"/>
    </row>
    <row r="807" spans="1:16" s="5" customFormat="1" ht="15" customHeight="1" x14ac:dyDescent="0.25">
      <c r="A807" s="5" t="s">
        <v>1874</v>
      </c>
      <c r="B807" s="5" t="s">
        <v>3476</v>
      </c>
      <c r="C807" s="5" t="s">
        <v>3477</v>
      </c>
      <c r="D807" s="5" t="s">
        <v>1877</v>
      </c>
      <c r="E807" s="5" t="s">
        <v>195</v>
      </c>
      <c r="F807" s="5" t="s">
        <v>24</v>
      </c>
      <c r="G807" s="25"/>
      <c r="H807" s="10"/>
    </row>
    <row r="808" spans="1:16" s="5" customFormat="1" x14ac:dyDescent="0.25">
      <c r="A808" s="5" t="s">
        <v>1874</v>
      </c>
      <c r="B808" s="5" t="s">
        <v>3478</v>
      </c>
      <c r="C808" s="5" t="s">
        <v>3479</v>
      </c>
      <c r="D808" s="5" t="s">
        <v>1877</v>
      </c>
      <c r="E808" s="5" t="s">
        <v>24</v>
      </c>
      <c r="F808" s="5" t="s">
        <v>24</v>
      </c>
      <c r="G808" s="25">
        <v>50</v>
      </c>
      <c r="H808" s="10"/>
    </row>
    <row r="809" spans="1:16" s="5" customFormat="1" ht="30" x14ac:dyDescent="0.25">
      <c r="A809" s="5" t="s">
        <v>1878</v>
      </c>
      <c r="B809" s="5" t="s">
        <v>3480</v>
      </c>
      <c r="C809" s="5" t="s">
        <v>3481</v>
      </c>
      <c r="D809" s="5" t="s">
        <v>1881</v>
      </c>
      <c r="E809" s="5" t="s">
        <v>24</v>
      </c>
      <c r="F809" s="5" t="s">
        <v>24</v>
      </c>
      <c r="G809" s="25"/>
      <c r="H809" s="10"/>
    </row>
    <row r="810" spans="1:16" s="5" customFormat="1" x14ac:dyDescent="0.25">
      <c r="A810" s="5" t="s">
        <v>1874</v>
      </c>
      <c r="B810" s="5" t="s">
        <v>3482</v>
      </c>
      <c r="C810" s="5" t="s">
        <v>3483</v>
      </c>
      <c r="D810" s="5" t="s">
        <v>1877</v>
      </c>
      <c r="E810" s="5" t="s">
        <v>195</v>
      </c>
      <c r="F810" s="5" t="s">
        <v>24</v>
      </c>
      <c r="G810" s="25"/>
      <c r="H810" s="10"/>
    </row>
    <row r="811" spans="1:16" s="5" customFormat="1" x14ac:dyDescent="0.25">
      <c r="A811" s="5" t="s">
        <v>1874</v>
      </c>
      <c r="B811" s="5" t="s">
        <v>3484</v>
      </c>
      <c r="C811" s="5" t="s">
        <v>3485</v>
      </c>
      <c r="D811" s="5" t="s">
        <v>1877</v>
      </c>
      <c r="E811" s="5" t="s">
        <v>24</v>
      </c>
      <c r="F811" s="5" t="s">
        <v>24</v>
      </c>
      <c r="G811" s="25"/>
      <c r="H811" s="10"/>
    </row>
    <row r="812" spans="1:16" s="5" customFormat="1" x14ac:dyDescent="0.25">
      <c r="A812" s="5" t="s">
        <v>1874</v>
      </c>
      <c r="B812" s="5" t="s">
        <v>3486</v>
      </c>
      <c r="C812" s="5" t="s">
        <v>3487</v>
      </c>
      <c r="D812" s="5" t="s">
        <v>1877</v>
      </c>
      <c r="E812" s="5" t="s">
        <v>24</v>
      </c>
      <c r="F812" s="5" t="s">
        <v>24</v>
      </c>
      <c r="G812" s="25"/>
      <c r="H812" s="10"/>
    </row>
    <row r="813" spans="1:16" s="5" customFormat="1" x14ac:dyDescent="0.25">
      <c r="A813" s="5" t="s">
        <v>1914</v>
      </c>
      <c r="B813" s="5" t="s">
        <v>3488</v>
      </c>
      <c r="C813" s="5" t="s">
        <v>3489</v>
      </c>
      <c r="D813" s="5" t="s">
        <v>1917</v>
      </c>
      <c r="E813" s="5" t="s">
        <v>195</v>
      </c>
      <c r="F813" s="5" t="s">
        <v>24</v>
      </c>
      <c r="G813" s="25"/>
      <c r="H813" s="10" t="str">
        <f>HYPERLINK("https://doc.morningstar.com/Document/a4cfc884bbbccf8edf7b6d73b6c2af1e.msdoc?clientid=fnz&amp;key=9c0e4d166b60ffd3","TMD")</f>
        <v>TMD</v>
      </c>
      <c r="I813" s="5" t="s">
        <v>25</v>
      </c>
      <c r="J813" s="5" t="s">
        <v>26</v>
      </c>
      <c r="K813" s="5" t="s">
        <v>27</v>
      </c>
      <c r="L813" s="5" t="s">
        <v>27</v>
      </c>
      <c r="M813" s="5" t="s">
        <v>26</v>
      </c>
      <c r="N813" s="5" t="s">
        <v>26</v>
      </c>
      <c r="O813" s="5" t="s">
        <v>27</v>
      </c>
      <c r="P813" s="5" t="s">
        <v>27</v>
      </c>
    </row>
    <row r="814" spans="1:16" s="5" customFormat="1" x14ac:dyDescent="0.25">
      <c r="A814" s="5" t="s">
        <v>1874</v>
      </c>
      <c r="B814" s="5" t="s">
        <v>3490</v>
      </c>
      <c r="C814" s="5" t="s">
        <v>3491</v>
      </c>
      <c r="D814" s="5" t="s">
        <v>1877</v>
      </c>
      <c r="E814" s="5" t="s">
        <v>195</v>
      </c>
      <c r="F814" s="5" t="s">
        <v>24</v>
      </c>
      <c r="G814" s="25"/>
      <c r="H814" s="10"/>
    </row>
    <row r="815" spans="1:16" s="5" customFormat="1" x14ac:dyDescent="0.25">
      <c r="A815" s="5" t="s">
        <v>1914</v>
      </c>
      <c r="B815" s="5" t="s">
        <v>3492</v>
      </c>
      <c r="C815" s="5" t="s">
        <v>3493</v>
      </c>
      <c r="D815" s="5" t="s">
        <v>1917</v>
      </c>
      <c r="E815" s="5" t="s">
        <v>195</v>
      </c>
      <c r="F815" s="5" t="s">
        <v>24</v>
      </c>
      <c r="G815" s="25">
        <v>100</v>
      </c>
      <c r="H815" s="10" t="str">
        <f>HYPERLINK("https://doc.morningstar.com/Document/84a026457ce84a44b1799ff0150d2f76.msdoc?clientid=fnz&amp;key=9c0e4d166b60ffd3","TMD")</f>
        <v>TMD</v>
      </c>
      <c r="I815" s="5" t="s">
        <v>25</v>
      </c>
      <c r="J815" s="5" t="s">
        <v>25</v>
      </c>
      <c r="K815" s="5" t="s">
        <v>25</v>
      </c>
      <c r="L815" s="5" t="s">
        <v>25</v>
      </c>
      <c r="M815" s="5" t="s">
        <v>26</v>
      </c>
      <c r="N815" s="5" t="s">
        <v>26</v>
      </c>
      <c r="O815" s="5" t="s">
        <v>27</v>
      </c>
      <c r="P815" s="5" t="s">
        <v>27</v>
      </c>
    </row>
    <row r="816" spans="1:16" s="5" customFormat="1" x14ac:dyDescent="0.25">
      <c r="A816" s="5" t="s">
        <v>1874</v>
      </c>
      <c r="B816" s="5" t="s">
        <v>3494</v>
      </c>
      <c r="C816" s="5" t="s">
        <v>3495</v>
      </c>
      <c r="D816" s="5" t="s">
        <v>1877</v>
      </c>
      <c r="E816" s="5" t="s">
        <v>195</v>
      </c>
      <c r="F816" s="5" t="s">
        <v>24</v>
      </c>
      <c r="G816" s="25"/>
      <c r="H816" s="10"/>
    </row>
    <row r="817" spans="1:16" s="5" customFormat="1" x14ac:dyDescent="0.25">
      <c r="A817" s="5" t="s">
        <v>1874</v>
      </c>
      <c r="B817" s="5" t="s">
        <v>3496</v>
      </c>
      <c r="C817" s="5" t="s">
        <v>3497</v>
      </c>
      <c r="D817" s="5" t="s">
        <v>1877</v>
      </c>
      <c r="E817" s="5" t="s">
        <v>195</v>
      </c>
      <c r="F817" s="5" t="s">
        <v>24</v>
      </c>
      <c r="G817" s="25"/>
      <c r="H817" s="10"/>
    </row>
    <row r="818" spans="1:16" s="5" customFormat="1" x14ac:dyDescent="0.25">
      <c r="A818" s="5" t="s">
        <v>1914</v>
      </c>
      <c r="B818" s="5" t="s">
        <v>3498</v>
      </c>
      <c r="C818" s="5" t="s">
        <v>3499</v>
      </c>
      <c r="D818" s="5" t="s">
        <v>1917</v>
      </c>
      <c r="E818" s="5" t="s">
        <v>195</v>
      </c>
      <c r="F818" s="5" t="s">
        <v>24</v>
      </c>
      <c r="G818" s="25"/>
      <c r="H818" s="10" t="str">
        <f>HYPERLINK("https://doc.morningstar.com/Document/8249b8eedf74e5a6b27e530472fe91cf.msdoc?clientid=fnz&amp;key=9c0e4d166b60ffd3","TMD")</f>
        <v>TMD</v>
      </c>
      <c r="I818" s="5" t="s">
        <v>25</v>
      </c>
      <c r="J818" s="5" t="s">
        <v>25</v>
      </c>
      <c r="K818" s="5" t="s">
        <v>25</v>
      </c>
      <c r="L818" s="5" t="s">
        <v>25</v>
      </c>
      <c r="M818" s="5" t="s">
        <v>26</v>
      </c>
      <c r="N818" s="5" t="s">
        <v>26</v>
      </c>
      <c r="O818" s="5" t="s">
        <v>27</v>
      </c>
      <c r="P818" s="5" t="s">
        <v>27</v>
      </c>
    </row>
    <row r="819" spans="1:16" s="5" customFormat="1" x14ac:dyDescent="0.25">
      <c r="A819" s="5" t="s">
        <v>1914</v>
      </c>
      <c r="B819" s="5" t="s">
        <v>3500</v>
      </c>
      <c r="C819" s="5" t="s">
        <v>3501</v>
      </c>
      <c r="D819" s="5" t="s">
        <v>1917</v>
      </c>
      <c r="E819" s="5" t="s">
        <v>24</v>
      </c>
      <c r="F819" s="5" t="s">
        <v>24</v>
      </c>
      <c r="G819" s="25"/>
      <c r="H819" s="10" t="str">
        <f>HYPERLINK("https://doc.morningstar.com/Document/34ad90314b636e42dcfc4356cf54288d.msdoc?clientid=fnz&amp;key=9c0e4d166b60ffd3","TMD")</f>
        <v>TMD</v>
      </c>
      <c r="I819" s="5" t="s">
        <v>25</v>
      </c>
      <c r="J819" s="5" t="s">
        <v>25</v>
      </c>
      <c r="K819" s="5" t="s">
        <v>25</v>
      </c>
      <c r="L819" s="5" t="s">
        <v>25</v>
      </c>
      <c r="M819" s="5" t="s">
        <v>26</v>
      </c>
      <c r="N819" s="5" t="s">
        <v>26</v>
      </c>
      <c r="O819" s="5" t="s">
        <v>27</v>
      </c>
      <c r="P819" s="5" t="s">
        <v>26</v>
      </c>
    </row>
    <row r="820" spans="1:16" s="5" customFormat="1" x14ac:dyDescent="0.25">
      <c r="A820" s="5" t="s">
        <v>1914</v>
      </c>
      <c r="B820" s="5" t="s">
        <v>3502</v>
      </c>
      <c r="C820" s="5" t="s">
        <v>3503</v>
      </c>
      <c r="D820" s="5" t="s">
        <v>1917</v>
      </c>
      <c r="E820" s="5" t="s">
        <v>195</v>
      </c>
      <c r="F820" s="5" t="s">
        <v>24</v>
      </c>
      <c r="G820" s="25"/>
      <c r="H820" s="10" t="str">
        <f>HYPERLINK("https://doc.morningstar.com/Document/2133de6a37e91fb3203611ca0b74486b.msdoc?clientid=fnz&amp;key=9c0e4d166b60ffd3","TMD")</f>
        <v>TMD</v>
      </c>
      <c r="I820" s="5" t="s">
        <v>25</v>
      </c>
      <c r="J820" s="5" t="s">
        <v>25</v>
      </c>
      <c r="K820" s="5" t="s">
        <v>25</v>
      </c>
      <c r="L820" s="5" t="s">
        <v>25</v>
      </c>
      <c r="M820" s="5" t="s">
        <v>26</v>
      </c>
      <c r="N820" s="5" t="s">
        <v>26</v>
      </c>
      <c r="O820" s="5" t="s">
        <v>26</v>
      </c>
      <c r="P820" s="5" t="s">
        <v>27</v>
      </c>
    </row>
    <row r="821" spans="1:16" s="5" customFormat="1" x14ac:dyDescent="0.25">
      <c r="A821" s="5" t="s">
        <v>1914</v>
      </c>
      <c r="B821" s="5" t="s">
        <v>3504</v>
      </c>
      <c r="C821" s="5" t="s">
        <v>3505</v>
      </c>
      <c r="D821" s="5" t="s">
        <v>1917</v>
      </c>
      <c r="E821" s="5" t="s">
        <v>24</v>
      </c>
      <c r="F821" s="5" t="s">
        <v>24</v>
      </c>
      <c r="G821" s="25">
        <v>30</v>
      </c>
      <c r="H821" s="10" t="str">
        <f>HYPERLINK("https://doc.morningstar.com/Document/db1b3052d2f4e4483f0ff93f5f84e198.msdoc?clientid=fnz&amp;key=9c0e4d166b60ffd3","TMD")</f>
        <v>TMD</v>
      </c>
      <c r="I821" s="5" t="s">
        <v>25</v>
      </c>
      <c r="J821" s="5" t="s">
        <v>25</v>
      </c>
      <c r="K821" s="5" t="s">
        <v>25</v>
      </c>
      <c r="L821" s="5" t="s">
        <v>25</v>
      </c>
      <c r="M821" s="5" t="s">
        <v>26</v>
      </c>
      <c r="N821" s="5" t="s">
        <v>26</v>
      </c>
      <c r="O821" s="5" t="s">
        <v>27</v>
      </c>
      <c r="P821" s="5" t="s">
        <v>26</v>
      </c>
    </row>
    <row r="822" spans="1:16" s="5" customFormat="1" x14ac:dyDescent="0.25">
      <c r="A822" s="5" t="s">
        <v>1874</v>
      </c>
      <c r="B822" s="5" t="s">
        <v>3506</v>
      </c>
      <c r="C822" s="5" t="s">
        <v>3507</v>
      </c>
      <c r="D822" s="5" t="s">
        <v>1877</v>
      </c>
      <c r="E822" s="5" t="s">
        <v>24</v>
      </c>
      <c r="F822" s="5" t="s">
        <v>24</v>
      </c>
      <c r="G822" s="25"/>
      <c r="H822" s="10"/>
    </row>
    <row r="823" spans="1:16" s="5" customFormat="1" x14ac:dyDescent="0.25">
      <c r="A823" s="5" t="s">
        <v>1874</v>
      </c>
      <c r="B823" s="5" t="s">
        <v>3508</v>
      </c>
      <c r="C823" s="5" t="s">
        <v>3509</v>
      </c>
      <c r="D823" s="5" t="s">
        <v>1877</v>
      </c>
      <c r="E823" s="5" t="s">
        <v>24</v>
      </c>
      <c r="F823" s="5" t="s">
        <v>24</v>
      </c>
      <c r="G823" s="25"/>
      <c r="H823" s="10"/>
    </row>
    <row r="824" spans="1:16" s="5" customFormat="1" x14ac:dyDescent="0.25">
      <c r="A824" s="5" t="s">
        <v>1988</v>
      </c>
      <c r="B824" s="5" t="s">
        <v>3510</v>
      </c>
      <c r="C824" s="5" t="s">
        <v>3511</v>
      </c>
      <c r="D824" s="5" t="s">
        <v>1991</v>
      </c>
      <c r="E824" s="5" t="s">
        <v>24</v>
      </c>
      <c r="F824" s="5" t="s">
        <v>24</v>
      </c>
      <c r="G824" s="25">
        <v>20</v>
      </c>
      <c r="H824" s="10"/>
    </row>
    <row r="825" spans="1:16" s="5" customFormat="1" x14ac:dyDescent="0.25">
      <c r="A825" s="5" t="s">
        <v>1988</v>
      </c>
      <c r="B825" s="5" t="s">
        <v>3512</v>
      </c>
      <c r="C825" s="5" t="s">
        <v>3513</v>
      </c>
      <c r="D825" s="5" t="s">
        <v>1991</v>
      </c>
      <c r="E825" s="5" t="s">
        <v>24</v>
      </c>
      <c r="F825" s="5" t="s">
        <v>24</v>
      </c>
      <c r="G825" s="25">
        <v>20</v>
      </c>
      <c r="H825" s="10"/>
    </row>
    <row r="826" spans="1:16" s="5" customFormat="1" x14ac:dyDescent="0.25">
      <c r="A826" s="5" t="s">
        <v>1988</v>
      </c>
      <c r="B826" s="5" t="s">
        <v>3514</v>
      </c>
      <c r="C826" s="5" t="s">
        <v>3515</v>
      </c>
      <c r="D826" s="5" t="s">
        <v>1991</v>
      </c>
      <c r="E826" s="5" t="s">
        <v>24</v>
      </c>
      <c r="F826" s="5" t="s">
        <v>24</v>
      </c>
      <c r="G826" s="25">
        <v>20</v>
      </c>
      <c r="H826" s="10"/>
    </row>
    <row r="827" spans="1:16" s="5" customFormat="1" x14ac:dyDescent="0.25">
      <c r="A827" s="5" t="s">
        <v>1874</v>
      </c>
      <c r="B827" s="5" t="s">
        <v>3516</v>
      </c>
      <c r="C827" s="5" t="s">
        <v>3517</v>
      </c>
      <c r="D827" s="5" t="s">
        <v>1877</v>
      </c>
      <c r="E827" s="5" t="s">
        <v>24</v>
      </c>
      <c r="F827" s="5" t="s">
        <v>24</v>
      </c>
      <c r="G827" s="25"/>
      <c r="H827" s="10"/>
    </row>
    <row r="828" spans="1:16" s="5" customFormat="1" x14ac:dyDescent="0.25">
      <c r="A828" s="5" t="s">
        <v>1914</v>
      </c>
      <c r="B828" s="5" t="s">
        <v>3518</v>
      </c>
      <c r="C828" s="5" t="s">
        <v>3519</v>
      </c>
      <c r="D828" s="5" t="s">
        <v>1917</v>
      </c>
      <c r="E828" s="5" t="s">
        <v>24</v>
      </c>
      <c r="F828" s="5" t="s">
        <v>24</v>
      </c>
      <c r="G828" s="25"/>
      <c r="H828" s="10" t="s">
        <v>1495</v>
      </c>
      <c r="I828" s="5" t="s">
        <v>25</v>
      </c>
      <c r="J828" s="5" t="s">
        <v>26</v>
      </c>
      <c r="K828" s="5" t="s">
        <v>27</v>
      </c>
      <c r="L828" s="5" t="s">
        <v>27</v>
      </c>
      <c r="M828" s="5" t="s">
        <v>26</v>
      </c>
      <c r="N828" s="5" t="s">
        <v>216</v>
      </c>
      <c r="O828" s="5" t="s">
        <v>27</v>
      </c>
      <c r="P828" s="5" t="s">
        <v>27</v>
      </c>
    </row>
    <row r="829" spans="1:16" s="5" customFormat="1" x14ac:dyDescent="0.25">
      <c r="A829" s="5" t="s">
        <v>1874</v>
      </c>
      <c r="B829" s="5" t="s">
        <v>3520</v>
      </c>
      <c r="C829" s="5" t="s">
        <v>3521</v>
      </c>
      <c r="D829" s="5" t="s">
        <v>1877</v>
      </c>
      <c r="E829" s="5" t="s">
        <v>195</v>
      </c>
      <c r="F829" s="5" t="s">
        <v>24</v>
      </c>
      <c r="G829" s="25"/>
      <c r="H829" s="10"/>
    </row>
    <row r="830" spans="1:16" s="5" customFormat="1" x14ac:dyDescent="0.25">
      <c r="A830" s="5" t="s">
        <v>1874</v>
      </c>
      <c r="B830" s="5" t="s">
        <v>3522</v>
      </c>
      <c r="C830" s="5" t="s">
        <v>3523</v>
      </c>
      <c r="D830" s="5" t="s">
        <v>1877</v>
      </c>
      <c r="E830" s="5" t="s">
        <v>195</v>
      </c>
      <c r="F830" s="5" t="s">
        <v>24</v>
      </c>
      <c r="G830" s="25"/>
      <c r="H830" s="10"/>
    </row>
    <row r="831" spans="1:16" s="5" customFormat="1" x14ac:dyDescent="0.25">
      <c r="A831" s="5" t="s">
        <v>1874</v>
      </c>
      <c r="B831" s="5" t="s">
        <v>3524</v>
      </c>
      <c r="C831" s="5" t="s">
        <v>3525</v>
      </c>
      <c r="D831" s="5" t="s">
        <v>2228</v>
      </c>
      <c r="E831" s="5" t="s">
        <v>24</v>
      </c>
      <c r="F831" s="5" t="s">
        <v>24</v>
      </c>
      <c r="G831" s="25"/>
      <c r="H831" s="10"/>
    </row>
    <row r="832" spans="1:16" s="5" customFormat="1" ht="15" customHeight="1" x14ac:dyDescent="0.25">
      <c r="A832" s="5" t="s">
        <v>1874</v>
      </c>
      <c r="B832" s="5" t="s">
        <v>3526</v>
      </c>
      <c r="C832" s="5" t="s">
        <v>3527</v>
      </c>
      <c r="D832" s="5" t="s">
        <v>1877</v>
      </c>
      <c r="E832" s="5" t="s">
        <v>24</v>
      </c>
      <c r="F832" s="5" t="s">
        <v>24</v>
      </c>
      <c r="G832" s="25"/>
      <c r="H832" s="10"/>
    </row>
    <row r="833" spans="1:8" s="5" customFormat="1" x14ac:dyDescent="0.25">
      <c r="A833" s="5" t="s">
        <v>1988</v>
      </c>
      <c r="B833" s="5" t="s">
        <v>3528</v>
      </c>
      <c r="C833" s="5" t="s">
        <v>3529</v>
      </c>
      <c r="D833" s="5" t="s">
        <v>1991</v>
      </c>
      <c r="E833" s="5" t="s">
        <v>24</v>
      </c>
      <c r="F833" s="5" t="s">
        <v>24</v>
      </c>
      <c r="G833" s="25"/>
      <c r="H833" s="10"/>
    </row>
    <row r="834" spans="1:8" s="5" customFormat="1" ht="30" x14ac:dyDescent="0.25">
      <c r="A834" s="5" t="s">
        <v>1878</v>
      </c>
      <c r="B834" s="5" t="s">
        <v>3530</v>
      </c>
      <c r="C834" s="5" t="s">
        <v>3531</v>
      </c>
      <c r="D834" s="5" t="s">
        <v>1881</v>
      </c>
      <c r="E834" s="5" t="s">
        <v>24</v>
      </c>
      <c r="F834" s="5" t="s">
        <v>24</v>
      </c>
      <c r="G834" s="25"/>
      <c r="H834" s="10"/>
    </row>
    <row r="835" spans="1:8" s="5" customFormat="1" x14ac:dyDescent="0.25">
      <c r="A835" s="5" t="s">
        <v>1874</v>
      </c>
      <c r="B835" s="5" t="s">
        <v>3532</v>
      </c>
      <c r="C835" s="5" t="s">
        <v>3533</v>
      </c>
      <c r="D835" s="5" t="s">
        <v>1877</v>
      </c>
      <c r="E835" s="5" t="s">
        <v>195</v>
      </c>
      <c r="F835" s="5" t="s">
        <v>24</v>
      </c>
      <c r="G835" s="25"/>
      <c r="H835" s="10"/>
    </row>
    <row r="836" spans="1:8" s="5" customFormat="1" x14ac:dyDescent="0.25">
      <c r="A836" s="5" t="s">
        <v>1874</v>
      </c>
      <c r="B836" s="5" t="s">
        <v>3534</v>
      </c>
      <c r="C836" s="5" t="s">
        <v>3535</v>
      </c>
      <c r="D836" s="5" t="s">
        <v>1877</v>
      </c>
      <c r="E836" s="5" t="s">
        <v>195</v>
      </c>
      <c r="F836" s="5" t="s">
        <v>24</v>
      </c>
      <c r="G836" s="25"/>
      <c r="H836" s="10"/>
    </row>
    <row r="837" spans="1:8" s="5" customFormat="1" x14ac:dyDescent="0.25">
      <c r="A837" s="5" t="s">
        <v>1874</v>
      </c>
      <c r="B837" s="5" t="s">
        <v>3536</v>
      </c>
      <c r="C837" s="5" t="s">
        <v>3537</v>
      </c>
      <c r="D837" s="5" t="s">
        <v>1877</v>
      </c>
      <c r="E837" s="5" t="s">
        <v>24</v>
      </c>
      <c r="F837" s="5" t="s">
        <v>24</v>
      </c>
      <c r="G837" s="25"/>
      <c r="H837" s="10"/>
    </row>
    <row r="838" spans="1:8" s="5" customFormat="1" x14ac:dyDescent="0.25">
      <c r="A838" s="5" t="s">
        <v>1874</v>
      </c>
      <c r="B838" s="5" t="s">
        <v>3538</v>
      </c>
      <c r="C838" s="5" t="s">
        <v>3539</v>
      </c>
      <c r="D838" s="5" t="s">
        <v>1877</v>
      </c>
      <c r="E838" s="5" t="s">
        <v>24</v>
      </c>
      <c r="F838" s="5" t="s">
        <v>24</v>
      </c>
      <c r="G838" s="25"/>
      <c r="H838" s="10"/>
    </row>
    <row r="839" spans="1:8" s="5" customFormat="1" x14ac:dyDescent="0.25">
      <c r="A839" s="5" t="s">
        <v>1874</v>
      </c>
      <c r="B839" s="5" t="s">
        <v>3540</v>
      </c>
      <c r="C839" s="5" t="s">
        <v>3541</v>
      </c>
      <c r="D839" s="5" t="s">
        <v>1877</v>
      </c>
      <c r="E839" s="5" t="s">
        <v>195</v>
      </c>
      <c r="F839" s="5" t="s">
        <v>24</v>
      </c>
      <c r="G839" s="25"/>
      <c r="H839" s="10"/>
    </row>
    <row r="840" spans="1:8" s="5" customFormat="1" x14ac:dyDescent="0.25">
      <c r="A840" s="5" t="s">
        <v>1874</v>
      </c>
      <c r="B840" s="5" t="s">
        <v>3542</v>
      </c>
      <c r="C840" s="5" t="s">
        <v>3543</v>
      </c>
      <c r="D840" s="5" t="s">
        <v>1913</v>
      </c>
      <c r="E840" s="5" t="s">
        <v>195</v>
      </c>
      <c r="F840" s="5" t="s">
        <v>24</v>
      </c>
      <c r="G840" s="25"/>
      <c r="H840" s="10"/>
    </row>
    <row r="841" spans="1:8" s="5" customFormat="1" x14ac:dyDescent="0.25">
      <c r="A841" s="5" t="s">
        <v>1874</v>
      </c>
      <c r="B841" s="5" t="s">
        <v>3544</v>
      </c>
      <c r="C841" s="5" t="s">
        <v>3545</v>
      </c>
      <c r="D841" s="5" t="s">
        <v>1877</v>
      </c>
      <c r="E841" s="5" t="s">
        <v>195</v>
      </c>
      <c r="F841" s="5" t="s">
        <v>24</v>
      </c>
      <c r="G841" s="25"/>
      <c r="H841" s="10"/>
    </row>
    <row r="842" spans="1:8" s="5" customFormat="1" x14ac:dyDescent="0.25">
      <c r="A842" s="5" t="s">
        <v>1874</v>
      </c>
      <c r="B842" s="5" t="s">
        <v>3546</v>
      </c>
      <c r="C842" s="5" t="s">
        <v>3547</v>
      </c>
      <c r="D842" s="5" t="s">
        <v>1877</v>
      </c>
      <c r="E842" s="5" t="s">
        <v>24</v>
      </c>
      <c r="F842" s="5" t="s">
        <v>24</v>
      </c>
      <c r="G842" s="25"/>
      <c r="H842" s="10"/>
    </row>
    <row r="843" spans="1:8" s="5" customFormat="1" x14ac:dyDescent="0.25">
      <c r="A843" s="5" t="s">
        <v>1874</v>
      </c>
      <c r="B843" s="5" t="s">
        <v>3548</v>
      </c>
      <c r="C843" s="5" t="s">
        <v>3549</v>
      </c>
      <c r="D843" s="5" t="s">
        <v>1877</v>
      </c>
      <c r="E843" s="5" t="s">
        <v>195</v>
      </c>
      <c r="F843" s="5" t="s">
        <v>24</v>
      </c>
      <c r="G843" s="25"/>
      <c r="H843" s="10"/>
    </row>
    <row r="844" spans="1:8" s="5" customFormat="1" x14ac:dyDescent="0.25">
      <c r="A844" s="5" t="s">
        <v>1874</v>
      </c>
      <c r="B844" s="5" t="s">
        <v>3550</v>
      </c>
      <c r="C844" s="5" t="s">
        <v>3551</v>
      </c>
      <c r="D844" s="5" t="s">
        <v>1894</v>
      </c>
      <c r="E844" s="5" t="s">
        <v>24</v>
      </c>
      <c r="F844" s="5" t="s">
        <v>24</v>
      </c>
      <c r="G844" s="25"/>
      <c r="H844" s="10"/>
    </row>
    <row r="845" spans="1:8" s="5" customFormat="1" x14ac:dyDescent="0.25">
      <c r="A845" s="5" t="s">
        <v>1874</v>
      </c>
      <c r="B845" s="5" t="s">
        <v>3552</v>
      </c>
      <c r="C845" s="5" t="s">
        <v>3553</v>
      </c>
      <c r="D845" s="5" t="s">
        <v>1894</v>
      </c>
      <c r="E845" s="5" t="s">
        <v>24</v>
      </c>
      <c r="F845" s="5" t="s">
        <v>24</v>
      </c>
      <c r="G845" s="25"/>
      <c r="H845" s="10"/>
    </row>
    <row r="846" spans="1:8" s="5" customFormat="1" x14ac:dyDescent="0.25">
      <c r="A846" s="5" t="s">
        <v>1874</v>
      </c>
      <c r="B846" s="5" t="s">
        <v>3554</v>
      </c>
      <c r="C846" s="5" t="s">
        <v>3555</v>
      </c>
      <c r="D846" s="5" t="s">
        <v>1894</v>
      </c>
      <c r="E846" s="5" t="s">
        <v>24</v>
      </c>
      <c r="F846" s="5" t="s">
        <v>24</v>
      </c>
      <c r="G846" s="25"/>
      <c r="H846" s="10"/>
    </row>
    <row r="847" spans="1:8" s="5" customFormat="1" x14ac:dyDescent="0.25">
      <c r="A847" s="5" t="s">
        <v>1874</v>
      </c>
      <c r="B847" s="5" t="s">
        <v>3556</v>
      </c>
      <c r="C847" s="5" t="s">
        <v>3557</v>
      </c>
      <c r="D847" s="5" t="s">
        <v>1894</v>
      </c>
      <c r="E847" s="5" t="s">
        <v>24</v>
      </c>
      <c r="F847" s="5" t="s">
        <v>24</v>
      </c>
      <c r="G847" s="25"/>
      <c r="H847" s="10"/>
    </row>
    <row r="848" spans="1:8" s="5" customFormat="1" x14ac:dyDescent="0.25">
      <c r="A848" s="5" t="s">
        <v>1874</v>
      </c>
      <c r="B848" s="5" t="s">
        <v>3558</v>
      </c>
      <c r="C848" s="5" t="s">
        <v>3559</v>
      </c>
      <c r="D848" s="5" t="s">
        <v>1877</v>
      </c>
      <c r="E848" s="5" t="s">
        <v>24</v>
      </c>
      <c r="F848" s="5" t="s">
        <v>24</v>
      </c>
      <c r="G848" s="25"/>
      <c r="H848" s="10"/>
    </row>
    <row r="849" spans="1:8" s="5" customFormat="1" x14ac:dyDescent="0.25">
      <c r="A849" s="5" t="s">
        <v>1874</v>
      </c>
      <c r="B849" s="5" t="s">
        <v>3560</v>
      </c>
      <c r="C849" s="5" t="s">
        <v>3561</v>
      </c>
      <c r="D849" s="5" t="s">
        <v>1877</v>
      </c>
      <c r="E849" s="5" t="s">
        <v>24</v>
      </c>
      <c r="F849" s="5" t="s">
        <v>24</v>
      </c>
      <c r="G849" s="25"/>
      <c r="H849" s="10"/>
    </row>
    <row r="850" spans="1:8" s="5" customFormat="1" x14ac:dyDescent="0.25">
      <c r="A850" s="5" t="s">
        <v>1874</v>
      </c>
      <c r="B850" s="5" t="s">
        <v>3562</v>
      </c>
      <c r="C850" s="5" t="s">
        <v>3563</v>
      </c>
      <c r="D850" s="5" t="s">
        <v>1877</v>
      </c>
      <c r="E850" s="5" t="s">
        <v>195</v>
      </c>
      <c r="F850" s="5" t="s">
        <v>24</v>
      </c>
      <c r="G850" s="25"/>
      <c r="H850" s="10"/>
    </row>
    <row r="851" spans="1:8" s="5" customFormat="1" x14ac:dyDescent="0.25">
      <c r="A851" s="5" t="s">
        <v>1874</v>
      </c>
      <c r="B851" s="5" t="s">
        <v>3564</v>
      </c>
      <c r="C851" s="5" t="s">
        <v>3565</v>
      </c>
      <c r="D851" s="5" t="s">
        <v>1877</v>
      </c>
      <c r="E851" s="5" t="s">
        <v>195</v>
      </c>
      <c r="F851" s="5" t="s">
        <v>24</v>
      </c>
      <c r="G851" s="25"/>
      <c r="H851" s="10"/>
    </row>
    <row r="852" spans="1:8" s="5" customFormat="1" x14ac:dyDescent="0.25">
      <c r="A852" s="5" t="s">
        <v>1874</v>
      </c>
      <c r="B852" s="5" t="s">
        <v>3566</v>
      </c>
      <c r="C852" s="5" t="s">
        <v>3567</v>
      </c>
      <c r="D852" s="5" t="s">
        <v>1877</v>
      </c>
      <c r="E852" s="5" t="s">
        <v>24</v>
      </c>
      <c r="F852" s="5" t="s">
        <v>24</v>
      </c>
      <c r="G852" s="25"/>
      <c r="H852" s="10"/>
    </row>
    <row r="853" spans="1:8" s="5" customFormat="1" x14ac:dyDescent="0.25">
      <c r="A853" s="5" t="s">
        <v>1874</v>
      </c>
      <c r="B853" s="5" t="s">
        <v>3568</v>
      </c>
      <c r="C853" s="5" t="s">
        <v>3569</v>
      </c>
      <c r="D853" s="5" t="s">
        <v>1877</v>
      </c>
      <c r="E853" s="5" t="s">
        <v>24</v>
      </c>
      <c r="F853" s="5" t="s">
        <v>24</v>
      </c>
      <c r="G853" s="25"/>
      <c r="H853" s="10"/>
    </row>
    <row r="854" spans="1:8" s="5" customFormat="1" x14ac:dyDescent="0.25">
      <c r="A854" s="5" t="s">
        <v>1874</v>
      </c>
      <c r="B854" s="5" t="s">
        <v>3570</v>
      </c>
      <c r="C854" s="5" t="s">
        <v>3571</v>
      </c>
      <c r="D854" s="5" t="s">
        <v>1877</v>
      </c>
      <c r="E854" s="5" t="s">
        <v>24</v>
      </c>
      <c r="F854" s="5" t="s">
        <v>24</v>
      </c>
      <c r="G854" s="25"/>
      <c r="H854" s="10"/>
    </row>
    <row r="855" spans="1:8" s="5" customFormat="1" x14ac:dyDescent="0.25">
      <c r="A855" s="5" t="s">
        <v>1874</v>
      </c>
      <c r="B855" s="5" t="s">
        <v>3572</v>
      </c>
      <c r="C855" s="5" t="s">
        <v>3573</v>
      </c>
      <c r="D855" s="5" t="s">
        <v>1877</v>
      </c>
      <c r="E855" s="5" t="s">
        <v>195</v>
      </c>
      <c r="F855" s="5" t="s">
        <v>24</v>
      </c>
      <c r="G855" s="25"/>
      <c r="H855" s="10"/>
    </row>
    <row r="856" spans="1:8" s="5" customFormat="1" x14ac:dyDescent="0.25">
      <c r="A856" s="5" t="s">
        <v>1874</v>
      </c>
      <c r="B856" s="5" t="s">
        <v>3574</v>
      </c>
      <c r="C856" s="5" t="s">
        <v>3575</v>
      </c>
      <c r="D856" s="5" t="s">
        <v>1877</v>
      </c>
      <c r="E856" s="5" t="s">
        <v>24</v>
      </c>
      <c r="F856" s="5" t="s">
        <v>24</v>
      </c>
      <c r="G856" s="25"/>
      <c r="H856" s="10"/>
    </row>
    <row r="857" spans="1:8" s="5" customFormat="1" x14ac:dyDescent="0.25">
      <c r="A857" s="5" t="s">
        <v>1874</v>
      </c>
      <c r="B857" s="5" t="s">
        <v>3576</v>
      </c>
      <c r="C857" s="5" t="s">
        <v>3577</v>
      </c>
      <c r="D857" s="5" t="s">
        <v>1877</v>
      </c>
      <c r="E857" s="5" t="s">
        <v>195</v>
      </c>
      <c r="F857" s="5" t="s">
        <v>24</v>
      </c>
      <c r="G857" s="25"/>
      <c r="H857" s="10"/>
    </row>
    <row r="858" spans="1:8" s="5" customFormat="1" x14ac:dyDescent="0.25">
      <c r="A858" s="5" t="s">
        <v>1874</v>
      </c>
      <c r="B858" s="5" t="s">
        <v>3578</v>
      </c>
      <c r="C858" s="5" t="s">
        <v>3579</v>
      </c>
      <c r="D858" s="5" t="s">
        <v>1877</v>
      </c>
      <c r="E858" s="5" t="s">
        <v>195</v>
      </c>
      <c r="F858" s="5" t="s">
        <v>24</v>
      </c>
      <c r="G858" s="25"/>
      <c r="H858" s="10"/>
    </row>
    <row r="859" spans="1:8" s="5" customFormat="1" x14ac:dyDescent="0.25">
      <c r="A859" s="5" t="s">
        <v>1874</v>
      </c>
      <c r="B859" s="5" t="s">
        <v>3580</v>
      </c>
      <c r="C859" s="5" t="s">
        <v>3581</v>
      </c>
      <c r="D859" s="5" t="s">
        <v>1877</v>
      </c>
      <c r="E859" s="5" t="s">
        <v>24</v>
      </c>
      <c r="F859" s="5" t="s">
        <v>24</v>
      </c>
      <c r="G859" s="25"/>
      <c r="H859" s="10"/>
    </row>
    <row r="860" spans="1:8" s="5" customFormat="1" x14ac:dyDescent="0.25">
      <c r="A860" s="5" t="s">
        <v>1874</v>
      </c>
      <c r="B860" s="5" t="s">
        <v>3582</v>
      </c>
      <c r="C860" s="5" t="s">
        <v>3583</v>
      </c>
      <c r="D860" s="5" t="s">
        <v>1877</v>
      </c>
      <c r="E860" s="5" t="s">
        <v>195</v>
      </c>
      <c r="F860" s="5" t="s">
        <v>24</v>
      </c>
      <c r="G860" s="25"/>
      <c r="H860" s="10"/>
    </row>
    <row r="861" spans="1:8" s="5" customFormat="1" x14ac:dyDescent="0.25">
      <c r="A861" s="5" t="s">
        <v>1874</v>
      </c>
      <c r="B861" s="5" t="s">
        <v>3584</v>
      </c>
      <c r="C861" s="5" t="s">
        <v>3585</v>
      </c>
      <c r="D861" s="5" t="s">
        <v>1877</v>
      </c>
      <c r="E861" s="5" t="s">
        <v>24</v>
      </c>
      <c r="F861" s="5" t="s">
        <v>24</v>
      </c>
      <c r="G861" s="25"/>
      <c r="H861" s="10"/>
    </row>
    <row r="862" spans="1:8" s="5" customFormat="1" x14ac:dyDescent="0.25">
      <c r="A862" s="5" t="s">
        <v>1874</v>
      </c>
      <c r="B862" s="5" t="s">
        <v>3586</v>
      </c>
      <c r="C862" s="5" t="s">
        <v>3587</v>
      </c>
      <c r="D862" s="5" t="s">
        <v>1913</v>
      </c>
      <c r="E862" s="5" t="s">
        <v>24</v>
      </c>
      <c r="F862" s="5" t="s">
        <v>24</v>
      </c>
      <c r="G862" s="25"/>
      <c r="H862" s="10"/>
    </row>
    <row r="863" spans="1:8" s="5" customFormat="1" x14ac:dyDescent="0.25">
      <c r="A863" s="5" t="s">
        <v>1874</v>
      </c>
      <c r="B863" s="5" t="s">
        <v>3588</v>
      </c>
      <c r="C863" s="5" t="s">
        <v>3589</v>
      </c>
      <c r="D863" s="5" t="s">
        <v>1877</v>
      </c>
      <c r="E863" s="5" t="s">
        <v>24</v>
      </c>
      <c r="F863" s="5" t="s">
        <v>24</v>
      </c>
      <c r="G863" s="25"/>
      <c r="H863" s="10"/>
    </row>
    <row r="864" spans="1:8" s="5" customFormat="1" x14ac:dyDescent="0.25">
      <c r="A864" s="5" t="s">
        <v>1874</v>
      </c>
      <c r="B864" s="5" t="s">
        <v>3590</v>
      </c>
      <c r="C864" s="5" t="s">
        <v>3591</v>
      </c>
      <c r="D864" s="5" t="s">
        <v>1877</v>
      </c>
      <c r="E864" s="5" t="s">
        <v>195</v>
      </c>
      <c r="F864" s="5" t="s">
        <v>24</v>
      </c>
      <c r="G864" s="25"/>
      <c r="H864" s="10"/>
    </row>
    <row r="865" spans="1:8" s="5" customFormat="1" x14ac:dyDescent="0.25">
      <c r="A865" s="5" t="s">
        <v>1874</v>
      </c>
      <c r="B865" s="5" t="s">
        <v>3592</v>
      </c>
      <c r="C865" s="5" t="s">
        <v>3593</v>
      </c>
      <c r="D865" s="5" t="s">
        <v>1877</v>
      </c>
      <c r="E865" s="5" t="s">
        <v>24</v>
      </c>
      <c r="F865" s="5" t="s">
        <v>24</v>
      </c>
      <c r="G865" s="25"/>
      <c r="H865" s="10"/>
    </row>
    <row r="866" spans="1:8" s="5" customFormat="1" x14ac:dyDescent="0.25">
      <c r="A866" s="5" t="s">
        <v>1874</v>
      </c>
      <c r="B866" s="5" t="s">
        <v>3594</v>
      </c>
      <c r="C866" s="5" t="s">
        <v>3595</v>
      </c>
      <c r="D866" s="5" t="s">
        <v>1877</v>
      </c>
      <c r="E866" s="5" t="s">
        <v>195</v>
      </c>
      <c r="F866" s="5" t="s">
        <v>24</v>
      </c>
      <c r="G866" s="25"/>
      <c r="H866" s="10"/>
    </row>
    <row r="867" spans="1:8" s="5" customFormat="1" x14ac:dyDescent="0.25">
      <c r="A867" s="5" t="s">
        <v>1988</v>
      </c>
      <c r="B867" s="5" t="s">
        <v>3596</v>
      </c>
      <c r="C867" s="5" t="s">
        <v>3597</v>
      </c>
      <c r="D867" s="5" t="s">
        <v>3598</v>
      </c>
      <c r="E867" s="5" t="s">
        <v>24</v>
      </c>
      <c r="F867" s="5" t="s">
        <v>24</v>
      </c>
      <c r="G867" s="25">
        <v>20</v>
      </c>
      <c r="H867" s="10"/>
    </row>
    <row r="868" spans="1:8" s="5" customFormat="1" x14ac:dyDescent="0.25">
      <c r="A868" s="5" t="s">
        <v>1874</v>
      </c>
      <c r="B868" s="5" t="s">
        <v>3599</v>
      </c>
      <c r="C868" s="5" t="s">
        <v>3600</v>
      </c>
      <c r="D868" s="5" t="s">
        <v>1877</v>
      </c>
      <c r="E868" s="5" t="s">
        <v>24</v>
      </c>
      <c r="F868" s="5" t="s">
        <v>24</v>
      </c>
      <c r="G868" s="25">
        <v>20</v>
      </c>
      <c r="H868" s="10"/>
    </row>
    <row r="869" spans="1:8" s="5" customFormat="1" x14ac:dyDescent="0.25">
      <c r="A869" s="5" t="s">
        <v>1874</v>
      </c>
      <c r="B869" s="5" t="s">
        <v>3601</v>
      </c>
      <c r="C869" s="5" t="s">
        <v>3602</v>
      </c>
      <c r="D869" s="5" t="s">
        <v>1877</v>
      </c>
      <c r="E869" s="5" t="s">
        <v>24</v>
      </c>
      <c r="F869" s="5" t="s">
        <v>24</v>
      </c>
      <c r="G869" s="25"/>
      <c r="H869" s="10"/>
    </row>
    <row r="870" spans="1:8" s="5" customFormat="1" x14ac:dyDescent="0.25">
      <c r="A870" s="5" t="s">
        <v>1874</v>
      </c>
      <c r="B870" s="5" t="s">
        <v>3603</v>
      </c>
      <c r="C870" s="5" t="s">
        <v>3604</v>
      </c>
      <c r="D870" s="5" t="s">
        <v>1877</v>
      </c>
      <c r="E870" s="5" t="s">
        <v>195</v>
      </c>
      <c r="F870" s="5" t="s">
        <v>24</v>
      </c>
      <c r="G870" s="25"/>
      <c r="H870" s="10"/>
    </row>
    <row r="871" spans="1:8" s="5" customFormat="1" x14ac:dyDescent="0.25">
      <c r="A871" s="5" t="s">
        <v>1874</v>
      </c>
      <c r="B871" s="5" t="s">
        <v>3605</v>
      </c>
      <c r="C871" s="5" t="s">
        <v>3606</v>
      </c>
      <c r="D871" s="5" t="s">
        <v>1877</v>
      </c>
      <c r="E871" s="5" t="s">
        <v>195</v>
      </c>
      <c r="F871" s="5" t="s">
        <v>24</v>
      </c>
      <c r="G871" s="25"/>
      <c r="H871" s="10"/>
    </row>
    <row r="872" spans="1:8" s="5" customFormat="1" x14ac:dyDescent="0.25">
      <c r="A872" s="5" t="s">
        <v>1874</v>
      </c>
      <c r="B872" s="5" t="s">
        <v>3607</v>
      </c>
      <c r="C872" s="5" t="s">
        <v>3608</v>
      </c>
      <c r="D872" s="5" t="s">
        <v>1877</v>
      </c>
      <c r="E872" s="5" t="s">
        <v>24</v>
      </c>
      <c r="F872" s="5" t="s">
        <v>24</v>
      </c>
      <c r="G872" s="25"/>
      <c r="H872" s="10"/>
    </row>
    <row r="873" spans="1:8" s="5" customFormat="1" x14ac:dyDescent="0.25">
      <c r="A873" s="5" t="s">
        <v>1874</v>
      </c>
      <c r="B873" s="5" t="s">
        <v>3609</v>
      </c>
      <c r="C873" s="5" t="s">
        <v>3610</v>
      </c>
      <c r="D873" s="5" t="s">
        <v>1877</v>
      </c>
      <c r="E873" s="5" t="s">
        <v>195</v>
      </c>
      <c r="F873" s="5" t="s">
        <v>24</v>
      </c>
      <c r="G873" s="25"/>
      <c r="H873" s="10"/>
    </row>
    <row r="874" spans="1:8" s="5" customFormat="1" x14ac:dyDescent="0.25">
      <c r="A874" s="5" t="s">
        <v>1874</v>
      </c>
      <c r="B874" s="5" t="s">
        <v>3611</v>
      </c>
      <c r="C874" s="5" t="s">
        <v>3612</v>
      </c>
      <c r="D874" s="5" t="s">
        <v>1877</v>
      </c>
      <c r="E874" s="5" t="s">
        <v>195</v>
      </c>
      <c r="F874" s="5" t="s">
        <v>24</v>
      </c>
      <c r="G874" s="25"/>
      <c r="H874" s="10"/>
    </row>
    <row r="875" spans="1:8" s="5" customFormat="1" x14ac:dyDescent="0.25">
      <c r="A875" s="5" t="s">
        <v>1874</v>
      </c>
      <c r="B875" s="5" t="s">
        <v>3613</v>
      </c>
      <c r="C875" s="5" t="s">
        <v>3614</v>
      </c>
      <c r="D875" s="5" t="s">
        <v>1894</v>
      </c>
      <c r="E875" s="5" t="s">
        <v>195</v>
      </c>
      <c r="F875" s="5" t="s">
        <v>24</v>
      </c>
      <c r="G875" s="25"/>
      <c r="H875" s="10"/>
    </row>
    <row r="876" spans="1:8" s="5" customFormat="1" x14ac:dyDescent="0.25">
      <c r="A876" s="5" t="s">
        <v>1874</v>
      </c>
      <c r="B876" s="5" t="s">
        <v>3615</v>
      </c>
      <c r="C876" s="5" t="s">
        <v>3616</v>
      </c>
      <c r="D876" s="5" t="s">
        <v>1877</v>
      </c>
      <c r="E876" s="5" t="s">
        <v>24</v>
      </c>
      <c r="F876" s="5" t="s">
        <v>24</v>
      </c>
      <c r="G876" s="25"/>
      <c r="H876" s="10"/>
    </row>
    <row r="877" spans="1:8" s="5" customFormat="1" x14ac:dyDescent="0.25">
      <c r="A877" s="5" t="s">
        <v>1874</v>
      </c>
      <c r="B877" s="5" t="s">
        <v>3617</v>
      </c>
      <c r="C877" s="5" t="s">
        <v>3618</v>
      </c>
      <c r="D877" s="5" t="s">
        <v>2866</v>
      </c>
      <c r="E877" s="5" t="s">
        <v>24</v>
      </c>
      <c r="F877" s="5" t="s">
        <v>24</v>
      </c>
      <c r="G877" s="25">
        <v>100</v>
      </c>
      <c r="H877" s="10"/>
    </row>
    <row r="878" spans="1:8" s="5" customFormat="1" x14ac:dyDescent="0.25">
      <c r="A878" s="5" t="s">
        <v>1874</v>
      </c>
      <c r="B878" s="5" t="s">
        <v>3619</v>
      </c>
      <c r="C878" s="5" t="s">
        <v>3620</v>
      </c>
      <c r="D878" s="5" t="s">
        <v>1877</v>
      </c>
      <c r="E878" s="5" t="s">
        <v>24</v>
      </c>
      <c r="F878" s="5" t="s">
        <v>24</v>
      </c>
      <c r="G878" s="25"/>
      <c r="H878" s="10"/>
    </row>
    <row r="879" spans="1:8" s="5" customFormat="1" x14ac:dyDescent="0.25">
      <c r="A879" s="5" t="s">
        <v>1874</v>
      </c>
      <c r="B879" s="5" t="s">
        <v>3621</v>
      </c>
      <c r="C879" s="5" t="s">
        <v>3622</v>
      </c>
      <c r="D879" s="5" t="s">
        <v>1877</v>
      </c>
      <c r="E879" s="5" t="s">
        <v>24</v>
      </c>
      <c r="F879" s="5" t="s">
        <v>24</v>
      </c>
      <c r="G879" s="25"/>
      <c r="H879" s="10"/>
    </row>
    <row r="880" spans="1:8" s="5" customFormat="1" x14ac:dyDescent="0.25">
      <c r="A880" s="5" t="s">
        <v>1874</v>
      </c>
      <c r="B880" s="5" t="s">
        <v>3623</v>
      </c>
      <c r="C880" s="5" t="s">
        <v>3624</v>
      </c>
      <c r="D880" s="5" t="s">
        <v>1877</v>
      </c>
      <c r="E880" s="5" t="s">
        <v>195</v>
      </c>
      <c r="F880" s="5" t="s">
        <v>24</v>
      </c>
      <c r="G880" s="25"/>
      <c r="H880" s="10"/>
    </row>
    <row r="881" spans="1:8" s="5" customFormat="1" x14ac:dyDescent="0.25">
      <c r="A881" s="5" t="s">
        <v>1874</v>
      </c>
      <c r="B881" s="5" t="s">
        <v>3625</v>
      </c>
      <c r="C881" s="5" t="s">
        <v>3626</v>
      </c>
      <c r="D881" s="5" t="s">
        <v>1877</v>
      </c>
      <c r="E881" s="5" t="s">
        <v>24</v>
      </c>
      <c r="F881" s="5" t="s">
        <v>24</v>
      </c>
      <c r="G881" s="25"/>
      <c r="H881" s="10"/>
    </row>
    <row r="882" spans="1:8" s="5" customFormat="1" x14ac:dyDescent="0.25">
      <c r="A882" s="5" t="s">
        <v>1874</v>
      </c>
      <c r="B882" s="5" t="s">
        <v>3627</v>
      </c>
      <c r="C882" s="5" t="s">
        <v>3628</v>
      </c>
      <c r="D882" s="5" t="s">
        <v>1877</v>
      </c>
      <c r="E882" s="5" t="s">
        <v>24</v>
      </c>
      <c r="F882" s="5" t="s">
        <v>24</v>
      </c>
      <c r="G882" s="25"/>
      <c r="H882" s="10"/>
    </row>
    <row r="883" spans="1:8" s="5" customFormat="1" x14ac:dyDescent="0.25">
      <c r="A883" s="5" t="s">
        <v>1874</v>
      </c>
      <c r="B883" s="5" t="s">
        <v>3629</v>
      </c>
      <c r="C883" s="5" t="s">
        <v>3630</v>
      </c>
      <c r="D883" s="5" t="s">
        <v>1877</v>
      </c>
      <c r="E883" s="5" t="s">
        <v>195</v>
      </c>
      <c r="F883" s="5" t="s">
        <v>24</v>
      </c>
      <c r="G883" s="25"/>
      <c r="H883" s="10"/>
    </row>
    <row r="884" spans="1:8" s="5" customFormat="1" x14ac:dyDescent="0.25">
      <c r="A884" s="5" t="s">
        <v>1874</v>
      </c>
      <c r="B884" s="5" t="s">
        <v>3631</v>
      </c>
      <c r="C884" s="5" t="s">
        <v>3632</v>
      </c>
      <c r="D884" s="5" t="s">
        <v>1877</v>
      </c>
      <c r="E884" s="5" t="s">
        <v>24</v>
      </c>
      <c r="F884" s="5" t="s">
        <v>24</v>
      </c>
      <c r="G884" s="25"/>
      <c r="H884" s="10"/>
    </row>
    <row r="885" spans="1:8" s="5" customFormat="1" x14ac:dyDescent="0.25">
      <c r="A885" s="5" t="s">
        <v>1874</v>
      </c>
      <c r="B885" s="5" t="s">
        <v>3633</v>
      </c>
      <c r="C885" s="5" t="s">
        <v>3634</v>
      </c>
      <c r="D885" s="5" t="s">
        <v>1877</v>
      </c>
      <c r="E885" s="5" t="s">
        <v>195</v>
      </c>
      <c r="F885" s="5" t="s">
        <v>24</v>
      </c>
      <c r="G885" s="25"/>
      <c r="H885" s="10"/>
    </row>
    <row r="886" spans="1:8" s="5" customFormat="1" x14ac:dyDescent="0.25">
      <c r="A886" s="5" t="s">
        <v>1874</v>
      </c>
      <c r="B886" s="5" t="s">
        <v>3635</v>
      </c>
      <c r="C886" s="5" t="s">
        <v>3636</v>
      </c>
      <c r="D886" s="5" t="s">
        <v>1877</v>
      </c>
      <c r="E886" s="5" t="s">
        <v>195</v>
      </c>
      <c r="F886" s="5" t="s">
        <v>24</v>
      </c>
      <c r="G886" s="25"/>
      <c r="H886" s="10"/>
    </row>
    <row r="887" spans="1:8" s="5" customFormat="1" x14ac:dyDescent="0.25">
      <c r="A887" s="5" t="s">
        <v>1874</v>
      </c>
      <c r="B887" s="5" t="s">
        <v>3637</v>
      </c>
      <c r="C887" s="5" t="s">
        <v>3638</v>
      </c>
      <c r="D887" s="5" t="s">
        <v>1877</v>
      </c>
      <c r="E887" s="5" t="s">
        <v>195</v>
      </c>
      <c r="F887" s="5" t="s">
        <v>24</v>
      </c>
      <c r="G887" s="25"/>
      <c r="H887" s="10"/>
    </row>
    <row r="888" spans="1:8" s="5" customFormat="1" x14ac:dyDescent="0.25">
      <c r="A888" s="5" t="s">
        <v>1874</v>
      </c>
      <c r="B888" s="5" t="s">
        <v>3639</v>
      </c>
      <c r="C888" s="5" t="s">
        <v>3640</v>
      </c>
      <c r="D888" s="5" t="s">
        <v>1877</v>
      </c>
      <c r="E888" s="5" t="s">
        <v>195</v>
      </c>
      <c r="F888" s="5" t="s">
        <v>24</v>
      </c>
      <c r="G888" s="25"/>
      <c r="H888" s="10"/>
    </row>
    <row r="889" spans="1:8" s="5" customFormat="1" x14ac:dyDescent="0.25">
      <c r="A889" s="5" t="s">
        <v>1874</v>
      </c>
      <c r="B889" s="5" t="s">
        <v>3641</v>
      </c>
      <c r="C889" s="5" t="s">
        <v>3642</v>
      </c>
      <c r="D889" s="5" t="s">
        <v>1894</v>
      </c>
      <c r="E889" s="5" t="s">
        <v>195</v>
      </c>
      <c r="F889" s="5" t="s">
        <v>24</v>
      </c>
      <c r="G889" s="25"/>
      <c r="H889" s="10"/>
    </row>
    <row r="890" spans="1:8" s="5" customFormat="1" x14ac:dyDescent="0.25">
      <c r="A890" s="5" t="s">
        <v>1874</v>
      </c>
      <c r="B890" s="5" t="s">
        <v>3643</v>
      </c>
      <c r="C890" s="5" t="s">
        <v>3644</v>
      </c>
      <c r="D890" s="5" t="s">
        <v>1877</v>
      </c>
      <c r="E890" s="5" t="s">
        <v>195</v>
      </c>
      <c r="F890" s="5" t="s">
        <v>24</v>
      </c>
      <c r="G890" s="25"/>
      <c r="H890" s="10"/>
    </row>
    <row r="891" spans="1:8" s="5" customFormat="1" x14ac:dyDescent="0.25">
      <c r="A891" s="5" t="s">
        <v>1874</v>
      </c>
      <c r="B891" s="5" t="s">
        <v>3645</v>
      </c>
      <c r="C891" s="5" t="s">
        <v>3646</v>
      </c>
      <c r="D891" s="5" t="s">
        <v>1877</v>
      </c>
      <c r="E891" s="5" t="s">
        <v>195</v>
      </c>
      <c r="F891" s="5" t="s">
        <v>24</v>
      </c>
      <c r="G891" s="25"/>
      <c r="H891" s="10"/>
    </row>
    <row r="892" spans="1:8" s="5" customFormat="1" x14ac:dyDescent="0.25">
      <c r="A892" s="5" t="s">
        <v>1874</v>
      </c>
      <c r="B892" s="5" t="s">
        <v>3647</v>
      </c>
      <c r="C892" s="5" t="s">
        <v>3648</v>
      </c>
      <c r="D892" s="5" t="s">
        <v>1877</v>
      </c>
      <c r="E892" s="5" t="s">
        <v>24</v>
      </c>
      <c r="F892" s="5" t="s">
        <v>24</v>
      </c>
      <c r="G892" s="25"/>
      <c r="H892" s="10"/>
    </row>
    <row r="893" spans="1:8" s="5" customFormat="1" x14ac:dyDescent="0.25">
      <c r="A893" s="5" t="s">
        <v>1874</v>
      </c>
      <c r="B893" s="5" t="s">
        <v>3649</v>
      </c>
      <c r="C893" s="5" t="s">
        <v>3650</v>
      </c>
      <c r="D893" s="5" t="s">
        <v>1877</v>
      </c>
      <c r="E893" s="5" t="s">
        <v>195</v>
      </c>
      <c r="F893" s="5" t="s">
        <v>24</v>
      </c>
      <c r="G893" s="25"/>
      <c r="H893" s="10"/>
    </row>
    <row r="894" spans="1:8" s="5" customFormat="1" x14ac:dyDescent="0.25">
      <c r="A894" s="5" t="s">
        <v>1874</v>
      </c>
      <c r="B894" s="5" t="s">
        <v>3651</v>
      </c>
      <c r="C894" s="5" t="s">
        <v>3652</v>
      </c>
      <c r="D894" s="5" t="s">
        <v>1877</v>
      </c>
      <c r="E894" s="5" t="s">
        <v>24</v>
      </c>
      <c r="F894" s="5" t="s">
        <v>24</v>
      </c>
      <c r="G894" s="25"/>
      <c r="H894" s="10"/>
    </row>
    <row r="895" spans="1:8" s="5" customFormat="1" x14ac:dyDescent="0.25">
      <c r="A895" s="5" t="s">
        <v>1874</v>
      </c>
      <c r="B895" s="5" t="s">
        <v>3653</v>
      </c>
      <c r="C895" s="5" t="s">
        <v>3654</v>
      </c>
      <c r="D895" s="5" t="s">
        <v>1877</v>
      </c>
      <c r="E895" s="5" t="s">
        <v>195</v>
      </c>
      <c r="F895" s="5" t="s">
        <v>24</v>
      </c>
      <c r="G895" s="25"/>
      <c r="H895" s="10"/>
    </row>
    <row r="896" spans="1:8" s="5" customFormat="1" x14ac:dyDescent="0.25">
      <c r="A896" s="5" t="s">
        <v>1874</v>
      </c>
      <c r="B896" s="5" t="s">
        <v>3655</v>
      </c>
      <c r="C896" s="5" t="s">
        <v>3656</v>
      </c>
      <c r="D896" s="5" t="s">
        <v>1913</v>
      </c>
      <c r="E896" s="5" t="s">
        <v>195</v>
      </c>
      <c r="F896" s="5" t="s">
        <v>24</v>
      </c>
      <c r="G896" s="25"/>
      <c r="H896" s="10"/>
    </row>
    <row r="897" spans="1:8" s="5" customFormat="1" x14ac:dyDescent="0.25">
      <c r="A897" s="5" t="s">
        <v>1874</v>
      </c>
      <c r="B897" s="5" t="s">
        <v>3657</v>
      </c>
      <c r="C897" s="5" t="s">
        <v>3658</v>
      </c>
      <c r="D897" s="5" t="s">
        <v>1877</v>
      </c>
      <c r="E897" s="5" t="s">
        <v>195</v>
      </c>
      <c r="F897" s="5" t="s">
        <v>24</v>
      </c>
      <c r="G897" s="25"/>
      <c r="H897" s="10"/>
    </row>
    <row r="898" spans="1:8" s="5" customFormat="1" x14ac:dyDescent="0.25">
      <c r="A898" s="5" t="s">
        <v>1874</v>
      </c>
      <c r="B898" s="5" t="s">
        <v>3659</v>
      </c>
      <c r="C898" s="5" t="s">
        <v>3660</v>
      </c>
      <c r="D898" s="5" t="s">
        <v>1894</v>
      </c>
      <c r="E898" s="5" t="s">
        <v>24</v>
      </c>
      <c r="F898" s="5" t="s">
        <v>24</v>
      </c>
      <c r="G898" s="25"/>
      <c r="H898" s="10"/>
    </row>
    <row r="899" spans="1:8" s="5" customFormat="1" x14ac:dyDescent="0.25">
      <c r="A899" s="5" t="s">
        <v>1874</v>
      </c>
      <c r="B899" s="5" t="s">
        <v>3661</v>
      </c>
      <c r="C899" s="5" t="s">
        <v>3662</v>
      </c>
      <c r="D899" s="5" t="s">
        <v>1877</v>
      </c>
      <c r="E899" s="5" t="s">
        <v>195</v>
      </c>
      <c r="F899" s="5" t="s">
        <v>24</v>
      </c>
      <c r="G899" s="25"/>
      <c r="H899" s="10"/>
    </row>
    <row r="900" spans="1:8" s="5" customFormat="1" x14ac:dyDescent="0.25">
      <c r="A900" s="5" t="s">
        <v>1874</v>
      </c>
      <c r="B900" s="5" t="s">
        <v>3663</v>
      </c>
      <c r="C900" s="5" t="s">
        <v>3664</v>
      </c>
      <c r="D900" s="5" t="s">
        <v>1877</v>
      </c>
      <c r="E900" s="5" t="s">
        <v>195</v>
      </c>
      <c r="F900" s="5" t="s">
        <v>24</v>
      </c>
      <c r="G900" s="25"/>
      <c r="H900" s="10"/>
    </row>
    <row r="901" spans="1:8" s="5" customFormat="1" x14ac:dyDescent="0.25">
      <c r="A901" s="5" t="s">
        <v>1874</v>
      </c>
      <c r="B901" s="5" t="s">
        <v>3665</v>
      </c>
      <c r="C901" s="5" t="s">
        <v>3666</v>
      </c>
      <c r="D901" s="5" t="s">
        <v>1877</v>
      </c>
      <c r="E901" s="5" t="s">
        <v>195</v>
      </c>
      <c r="F901" s="5" t="s">
        <v>24</v>
      </c>
      <c r="G901" s="25"/>
      <c r="H901" s="10"/>
    </row>
    <row r="902" spans="1:8" s="5" customFormat="1" x14ac:dyDescent="0.25">
      <c r="A902" s="5" t="s">
        <v>1874</v>
      </c>
      <c r="B902" s="5" t="s">
        <v>3667</v>
      </c>
      <c r="C902" s="5" t="s">
        <v>3668</v>
      </c>
      <c r="D902" s="5" t="s">
        <v>1877</v>
      </c>
      <c r="E902" s="5" t="s">
        <v>195</v>
      </c>
      <c r="F902" s="5" t="s">
        <v>24</v>
      </c>
      <c r="G902" s="25"/>
      <c r="H902" s="10"/>
    </row>
    <row r="903" spans="1:8" s="5" customFormat="1" x14ac:dyDescent="0.25">
      <c r="A903" s="5" t="s">
        <v>1874</v>
      </c>
      <c r="B903" s="5" t="s">
        <v>3669</v>
      </c>
      <c r="C903" s="5" t="s">
        <v>3670</v>
      </c>
      <c r="D903" s="5" t="s">
        <v>1877</v>
      </c>
      <c r="E903" s="5" t="s">
        <v>195</v>
      </c>
      <c r="F903" s="5" t="s">
        <v>24</v>
      </c>
      <c r="G903" s="25"/>
      <c r="H903" s="10"/>
    </row>
    <row r="904" spans="1:8" s="5" customFormat="1" x14ac:dyDescent="0.25">
      <c r="A904" s="5" t="s">
        <v>1874</v>
      </c>
      <c r="B904" s="5" t="s">
        <v>3671</v>
      </c>
      <c r="C904" s="5" t="s">
        <v>3672</v>
      </c>
      <c r="D904" s="5" t="s">
        <v>1877</v>
      </c>
      <c r="E904" s="5" t="s">
        <v>24</v>
      </c>
      <c r="F904" s="5" t="s">
        <v>24</v>
      </c>
      <c r="G904" s="25">
        <v>20</v>
      </c>
      <c r="H904" s="10"/>
    </row>
    <row r="905" spans="1:8" s="5" customFormat="1" x14ac:dyDescent="0.25">
      <c r="A905" s="5" t="s">
        <v>1874</v>
      </c>
      <c r="B905" s="5" t="s">
        <v>3673</v>
      </c>
      <c r="C905" s="5" t="s">
        <v>3674</v>
      </c>
      <c r="D905" s="5" t="s">
        <v>1877</v>
      </c>
      <c r="E905" s="5" t="s">
        <v>195</v>
      </c>
      <c r="F905" s="5" t="s">
        <v>24</v>
      </c>
      <c r="G905" s="25">
        <v>30</v>
      </c>
      <c r="H905" s="10"/>
    </row>
    <row r="906" spans="1:8" s="5" customFormat="1" x14ac:dyDescent="0.25">
      <c r="A906" s="5" t="s">
        <v>1874</v>
      </c>
      <c r="B906" s="5" t="s">
        <v>3675</v>
      </c>
      <c r="C906" s="5" t="s">
        <v>3676</v>
      </c>
      <c r="D906" s="5" t="s">
        <v>1877</v>
      </c>
      <c r="E906" s="5" t="s">
        <v>24</v>
      </c>
      <c r="F906" s="5" t="s">
        <v>24</v>
      </c>
      <c r="G906" s="25">
        <v>20</v>
      </c>
      <c r="H906" s="10"/>
    </row>
    <row r="907" spans="1:8" s="5" customFormat="1" x14ac:dyDescent="0.25">
      <c r="A907" s="5" t="s">
        <v>1874</v>
      </c>
      <c r="B907" s="5" t="s">
        <v>3677</v>
      </c>
      <c r="C907" s="5" t="s">
        <v>3678</v>
      </c>
      <c r="D907" s="5" t="s">
        <v>1877</v>
      </c>
      <c r="E907" s="5" t="s">
        <v>195</v>
      </c>
      <c r="F907" s="5" t="s">
        <v>24</v>
      </c>
      <c r="G907" s="25"/>
      <c r="H907" s="10"/>
    </row>
    <row r="908" spans="1:8" s="5" customFormat="1" x14ac:dyDescent="0.25">
      <c r="A908" s="5" t="s">
        <v>1874</v>
      </c>
      <c r="B908" s="5" t="s">
        <v>3679</v>
      </c>
      <c r="C908" s="5" t="s">
        <v>3680</v>
      </c>
      <c r="D908" s="5" t="s">
        <v>1877</v>
      </c>
      <c r="E908" s="5" t="s">
        <v>195</v>
      </c>
      <c r="F908" s="5" t="s">
        <v>24</v>
      </c>
      <c r="G908" s="25"/>
      <c r="H908" s="10"/>
    </row>
    <row r="909" spans="1:8" s="5" customFormat="1" x14ac:dyDescent="0.25">
      <c r="A909" s="5" t="s">
        <v>1874</v>
      </c>
      <c r="B909" s="5" t="s">
        <v>3681</v>
      </c>
      <c r="C909" s="5" t="s">
        <v>3682</v>
      </c>
      <c r="D909" s="5" t="s">
        <v>1877</v>
      </c>
      <c r="E909" s="5" t="s">
        <v>195</v>
      </c>
      <c r="F909" s="5" t="s">
        <v>24</v>
      </c>
      <c r="G909" s="25"/>
      <c r="H909" s="10"/>
    </row>
    <row r="910" spans="1:8" s="5" customFormat="1" x14ac:dyDescent="0.25">
      <c r="A910" s="5" t="s">
        <v>1874</v>
      </c>
      <c r="B910" s="5" t="s">
        <v>3683</v>
      </c>
      <c r="C910" s="5" t="s">
        <v>3684</v>
      </c>
      <c r="D910" s="5" t="s">
        <v>1877</v>
      </c>
      <c r="E910" s="5" t="s">
        <v>195</v>
      </c>
      <c r="F910" s="5" t="s">
        <v>24</v>
      </c>
      <c r="G910" s="25"/>
      <c r="H910" s="10"/>
    </row>
    <row r="911" spans="1:8" s="5" customFormat="1" x14ac:dyDescent="0.25">
      <c r="A911" s="5" t="s">
        <v>1874</v>
      </c>
      <c r="B911" s="5" t="s">
        <v>3685</v>
      </c>
      <c r="C911" s="5" t="s">
        <v>3686</v>
      </c>
      <c r="D911" s="5" t="s">
        <v>1877</v>
      </c>
      <c r="E911" s="5" t="s">
        <v>24</v>
      </c>
      <c r="F911" s="5" t="s">
        <v>24</v>
      </c>
      <c r="G911" s="25"/>
      <c r="H911" s="10"/>
    </row>
    <row r="912" spans="1:8" s="5" customFormat="1" x14ac:dyDescent="0.25">
      <c r="A912" s="5" t="s">
        <v>1874</v>
      </c>
      <c r="B912" s="5" t="s">
        <v>3687</v>
      </c>
      <c r="C912" s="5" t="s">
        <v>3688</v>
      </c>
      <c r="D912" s="5" t="s">
        <v>1877</v>
      </c>
      <c r="E912" s="5" t="s">
        <v>24</v>
      </c>
      <c r="F912" s="5" t="s">
        <v>24</v>
      </c>
      <c r="G912" s="25">
        <v>100</v>
      </c>
      <c r="H912" s="10"/>
    </row>
    <row r="913" spans="1:16" s="5" customFormat="1" x14ac:dyDescent="0.25">
      <c r="A913" s="5" t="s">
        <v>1874</v>
      </c>
      <c r="B913" s="5" t="s">
        <v>3689</v>
      </c>
      <c r="C913" s="5" t="s">
        <v>3690</v>
      </c>
      <c r="D913" s="5" t="s">
        <v>1877</v>
      </c>
      <c r="E913" s="5" t="s">
        <v>24</v>
      </c>
      <c r="F913" s="5" t="s">
        <v>24</v>
      </c>
      <c r="G913" s="25">
        <v>100</v>
      </c>
      <c r="H913" s="10"/>
    </row>
    <row r="914" spans="1:16" s="5" customFormat="1" x14ac:dyDescent="0.25">
      <c r="A914" s="5" t="s">
        <v>1874</v>
      </c>
      <c r="B914" s="5" t="s">
        <v>3691</v>
      </c>
      <c r="C914" s="5" t="s">
        <v>3692</v>
      </c>
      <c r="D914" s="5" t="s">
        <v>1877</v>
      </c>
      <c r="E914" s="5" t="s">
        <v>24</v>
      </c>
      <c r="F914" s="5" t="s">
        <v>24</v>
      </c>
      <c r="G914" s="25"/>
      <c r="H914" s="10"/>
    </row>
    <row r="915" spans="1:16" s="5" customFormat="1" x14ac:dyDescent="0.25">
      <c r="A915" s="5" t="s">
        <v>1874</v>
      </c>
      <c r="B915" s="5" t="s">
        <v>3693</v>
      </c>
      <c r="C915" s="5" t="s">
        <v>3694</v>
      </c>
      <c r="D915" s="5" t="s">
        <v>1877</v>
      </c>
      <c r="E915" s="5" t="s">
        <v>24</v>
      </c>
      <c r="F915" s="5" t="s">
        <v>24</v>
      </c>
      <c r="G915" s="25"/>
      <c r="H915" s="10"/>
    </row>
    <row r="916" spans="1:16" s="5" customFormat="1" x14ac:dyDescent="0.25">
      <c r="A916" s="5" t="s">
        <v>1874</v>
      </c>
      <c r="B916" s="5" t="s">
        <v>3695</v>
      </c>
      <c r="C916" s="5" t="s">
        <v>3696</v>
      </c>
      <c r="D916" s="5" t="s">
        <v>1877</v>
      </c>
      <c r="E916" s="5" t="s">
        <v>195</v>
      </c>
      <c r="F916" s="5" t="s">
        <v>24</v>
      </c>
      <c r="G916" s="25"/>
      <c r="H916" s="10"/>
    </row>
    <row r="917" spans="1:16" s="5" customFormat="1" x14ac:dyDescent="0.25">
      <c r="A917" s="5" t="s">
        <v>1874</v>
      </c>
      <c r="B917" s="5" t="s">
        <v>3697</v>
      </c>
      <c r="C917" s="5" t="s">
        <v>3698</v>
      </c>
      <c r="D917" s="5" t="s">
        <v>1877</v>
      </c>
      <c r="E917" s="5" t="s">
        <v>195</v>
      </c>
      <c r="F917" s="5" t="s">
        <v>24</v>
      </c>
      <c r="G917" s="25"/>
      <c r="H917" s="10"/>
    </row>
    <row r="918" spans="1:16" s="5" customFormat="1" x14ac:dyDescent="0.25">
      <c r="A918" s="5" t="s">
        <v>1874</v>
      </c>
      <c r="B918" s="5" t="s">
        <v>3699</v>
      </c>
      <c r="C918" s="5" t="s">
        <v>3700</v>
      </c>
      <c r="D918" s="5" t="s">
        <v>1877</v>
      </c>
      <c r="E918" s="5" t="s">
        <v>195</v>
      </c>
      <c r="F918" s="5" t="s">
        <v>24</v>
      </c>
      <c r="G918" s="25"/>
      <c r="H918" s="10"/>
    </row>
    <row r="919" spans="1:16" s="5" customFormat="1" x14ac:dyDescent="0.25">
      <c r="A919" s="5" t="s">
        <v>1874</v>
      </c>
      <c r="B919" s="5" t="s">
        <v>3701</v>
      </c>
      <c r="C919" s="5" t="s">
        <v>3702</v>
      </c>
      <c r="D919" s="5" t="s">
        <v>1894</v>
      </c>
      <c r="E919" s="5" t="s">
        <v>195</v>
      </c>
      <c r="F919" s="5" t="s">
        <v>24</v>
      </c>
      <c r="G919" s="25"/>
      <c r="H919" s="10"/>
    </row>
    <row r="920" spans="1:16" s="5" customFormat="1" x14ac:dyDescent="0.25">
      <c r="A920" s="5" t="s">
        <v>1874</v>
      </c>
      <c r="B920" s="5" t="s">
        <v>3703</v>
      </c>
      <c r="C920" s="5" t="s">
        <v>3704</v>
      </c>
      <c r="D920" s="5" t="s">
        <v>1877</v>
      </c>
      <c r="E920" s="5" t="s">
        <v>24</v>
      </c>
      <c r="F920" s="5" t="s">
        <v>24</v>
      </c>
      <c r="G920" s="25"/>
      <c r="H920" s="10"/>
    </row>
    <row r="921" spans="1:16" s="5" customFormat="1" x14ac:dyDescent="0.25">
      <c r="A921" s="5" t="s">
        <v>1914</v>
      </c>
      <c r="B921" s="5" t="s">
        <v>3705</v>
      </c>
      <c r="C921" s="5" t="s">
        <v>3706</v>
      </c>
      <c r="D921" s="5" t="s">
        <v>1917</v>
      </c>
      <c r="E921" s="5" t="s">
        <v>195</v>
      </c>
      <c r="F921" s="5" t="s">
        <v>24</v>
      </c>
      <c r="G921" s="25"/>
      <c r="H921" s="10" t="str">
        <f>HYPERLINK("https://doc.morningstar.com/Document/e33d52e1a74e70f46f64e8c9e21a3c0f.msdoc?clientid=fnz&amp;key=9c0e4d166b60ffd3","TMD")</f>
        <v>TMD</v>
      </c>
      <c r="I921" s="5" t="s">
        <v>25</v>
      </c>
      <c r="J921" s="5" t="s">
        <v>25</v>
      </c>
      <c r="K921" s="5" t="s">
        <v>25</v>
      </c>
      <c r="L921" s="5" t="s">
        <v>25</v>
      </c>
      <c r="M921" s="5" t="s">
        <v>26</v>
      </c>
      <c r="N921" s="5" t="s">
        <v>26</v>
      </c>
      <c r="O921" s="5" t="s">
        <v>26</v>
      </c>
      <c r="P921" s="5" t="s">
        <v>27</v>
      </c>
    </row>
    <row r="922" spans="1:16" s="5" customFormat="1" x14ac:dyDescent="0.25">
      <c r="A922" s="5" t="s">
        <v>1874</v>
      </c>
      <c r="B922" s="5" t="s">
        <v>3707</v>
      </c>
      <c r="C922" s="5" t="s">
        <v>3708</v>
      </c>
      <c r="D922" s="5" t="s">
        <v>1877</v>
      </c>
      <c r="E922" s="5" t="s">
        <v>24</v>
      </c>
      <c r="F922" s="5" t="s">
        <v>24</v>
      </c>
      <c r="G922" s="25"/>
      <c r="H922" s="10"/>
    </row>
    <row r="923" spans="1:16" s="5" customFormat="1" x14ac:dyDescent="0.25">
      <c r="A923" s="5" t="s">
        <v>1874</v>
      </c>
      <c r="B923" s="5" t="s">
        <v>3709</v>
      </c>
      <c r="C923" s="5" t="s">
        <v>3710</v>
      </c>
      <c r="D923" s="5" t="s">
        <v>1877</v>
      </c>
      <c r="E923" s="5" t="s">
        <v>195</v>
      </c>
      <c r="F923" s="5" t="s">
        <v>24</v>
      </c>
      <c r="G923" s="25"/>
      <c r="H923" s="10"/>
    </row>
    <row r="924" spans="1:16" s="5" customFormat="1" x14ac:dyDescent="0.25">
      <c r="A924" s="5" t="s">
        <v>1874</v>
      </c>
      <c r="B924" s="5" t="s">
        <v>3711</v>
      </c>
      <c r="C924" s="5" t="s">
        <v>3712</v>
      </c>
      <c r="D924" s="5" t="s">
        <v>1877</v>
      </c>
      <c r="E924" s="5" t="s">
        <v>195</v>
      </c>
      <c r="F924" s="5" t="s">
        <v>24</v>
      </c>
      <c r="G924" s="25"/>
      <c r="H924" s="10"/>
    </row>
    <row r="925" spans="1:16" s="5" customFormat="1" x14ac:dyDescent="0.25">
      <c r="A925" s="5" t="s">
        <v>1914</v>
      </c>
      <c r="B925" s="5" t="s">
        <v>3713</v>
      </c>
      <c r="C925" s="5" t="s">
        <v>3714</v>
      </c>
      <c r="D925" s="5" t="s">
        <v>1917</v>
      </c>
      <c r="E925" s="5" t="s">
        <v>24</v>
      </c>
      <c r="F925" s="5" t="s">
        <v>24</v>
      </c>
      <c r="G925" s="25">
        <v>30</v>
      </c>
      <c r="H925" s="10" t="str">
        <f>HYPERLINK("https://doc.morningstar.com/Document/ff3c7f66b9fa18155a82836ab557d834.msdoc?clientid=fnz&amp;key=9c0e4d166b60ffd3","TMD")</f>
        <v>TMD</v>
      </c>
      <c r="I925" s="5" t="s">
        <v>25</v>
      </c>
      <c r="J925" s="5" t="s">
        <v>25</v>
      </c>
      <c r="K925" s="5" t="s">
        <v>25</v>
      </c>
      <c r="L925" s="5" t="s">
        <v>25</v>
      </c>
      <c r="M925" s="5" t="s">
        <v>26</v>
      </c>
      <c r="N925" s="5" t="s">
        <v>26</v>
      </c>
      <c r="O925" s="5" t="s">
        <v>27</v>
      </c>
      <c r="P925" s="5" t="s">
        <v>26</v>
      </c>
    </row>
    <row r="926" spans="1:16" s="5" customFormat="1" x14ac:dyDescent="0.25">
      <c r="A926" s="5" t="s">
        <v>1874</v>
      </c>
      <c r="B926" s="5" t="s">
        <v>3715</v>
      </c>
      <c r="C926" s="5" t="s">
        <v>3716</v>
      </c>
      <c r="D926" s="5" t="s">
        <v>1877</v>
      </c>
      <c r="E926" s="5" t="s">
        <v>24</v>
      </c>
      <c r="F926" s="5" t="s">
        <v>24</v>
      </c>
      <c r="G926" s="25"/>
      <c r="H926" s="10"/>
    </row>
    <row r="927" spans="1:16" s="5" customFormat="1" x14ac:dyDescent="0.25">
      <c r="A927" s="5" t="s">
        <v>1874</v>
      </c>
      <c r="B927" s="5" t="s">
        <v>3717</v>
      </c>
      <c r="C927" s="5" t="s">
        <v>3718</v>
      </c>
      <c r="D927" s="5" t="s">
        <v>1877</v>
      </c>
      <c r="E927" s="5" t="s">
        <v>24</v>
      </c>
      <c r="F927" s="5" t="s">
        <v>24</v>
      </c>
      <c r="G927" s="25">
        <v>30</v>
      </c>
      <c r="H927" s="10"/>
    </row>
    <row r="928" spans="1:16" s="5" customFormat="1" x14ac:dyDescent="0.25">
      <c r="A928" s="5" t="s">
        <v>1914</v>
      </c>
      <c r="B928" s="5" t="s">
        <v>3719</v>
      </c>
      <c r="C928" s="5" t="s">
        <v>3720</v>
      </c>
      <c r="D928" s="5" t="s">
        <v>1917</v>
      </c>
      <c r="E928" s="5" t="s">
        <v>24</v>
      </c>
      <c r="F928" s="5" t="s">
        <v>24</v>
      </c>
      <c r="G928" s="25"/>
      <c r="H928" s="10" t="str">
        <f>HYPERLINK("https://doc.morningstar.com/Document/bfddf737cc5c92115aef6e84f99099a5.msdoc?clientid=fnz&amp;key=9c0e4d166b60ffd3","TMD")</f>
        <v>TMD</v>
      </c>
      <c r="I928" s="5" t="s">
        <v>25</v>
      </c>
      <c r="J928" s="5" t="s">
        <v>25</v>
      </c>
      <c r="K928" s="5" t="s">
        <v>25</v>
      </c>
      <c r="L928" s="5" t="s">
        <v>25</v>
      </c>
      <c r="M928" s="5" t="s">
        <v>26</v>
      </c>
      <c r="N928" s="5" t="s">
        <v>26</v>
      </c>
      <c r="O928" s="5" t="s">
        <v>27</v>
      </c>
      <c r="P928" s="5" t="s">
        <v>26</v>
      </c>
    </row>
    <row r="929" spans="1:16" s="5" customFormat="1" x14ac:dyDescent="0.25">
      <c r="A929" s="5" t="s">
        <v>1914</v>
      </c>
      <c r="B929" s="5" t="s">
        <v>3721</v>
      </c>
      <c r="C929" s="5" t="s">
        <v>3722</v>
      </c>
      <c r="D929" s="5" t="s">
        <v>1917</v>
      </c>
      <c r="E929" s="5" t="s">
        <v>195</v>
      </c>
      <c r="F929" s="5" t="s">
        <v>24</v>
      </c>
      <c r="G929" s="25"/>
      <c r="H929" s="10" t="str">
        <f>HYPERLINK("https://doc.morningstar.com/Document/85a90af813f8e940819b103334a96949.msdoc?clientid=fnz&amp;key=9c0e4d166b60ffd3","TMD")</f>
        <v>TMD</v>
      </c>
      <c r="I929" s="5" t="s">
        <v>25</v>
      </c>
      <c r="J929" s="5" t="s">
        <v>25</v>
      </c>
      <c r="K929" s="5" t="s">
        <v>25</v>
      </c>
      <c r="L929" s="5" t="s">
        <v>25</v>
      </c>
      <c r="M929" s="5" t="s">
        <v>26</v>
      </c>
      <c r="N929" s="5" t="s">
        <v>26</v>
      </c>
      <c r="O929" s="5" t="s">
        <v>27</v>
      </c>
      <c r="P929" s="5" t="s">
        <v>27</v>
      </c>
    </row>
    <row r="930" spans="1:16" s="5" customFormat="1" x14ac:dyDescent="0.25">
      <c r="A930" s="5" t="s">
        <v>1874</v>
      </c>
      <c r="B930" s="5" t="s">
        <v>3723</v>
      </c>
      <c r="C930" s="5" t="s">
        <v>3724</v>
      </c>
      <c r="D930" s="5" t="s">
        <v>1877</v>
      </c>
      <c r="E930" s="5" t="s">
        <v>24</v>
      </c>
      <c r="F930" s="5" t="s">
        <v>24</v>
      </c>
      <c r="G930" s="25">
        <v>100</v>
      </c>
      <c r="H930" s="10"/>
    </row>
    <row r="931" spans="1:16" s="5" customFormat="1" x14ac:dyDescent="0.25">
      <c r="A931" s="5" t="s">
        <v>1874</v>
      </c>
      <c r="B931" s="5" t="s">
        <v>3725</v>
      </c>
      <c r="C931" s="5" t="s">
        <v>3726</v>
      </c>
      <c r="D931" s="5" t="s">
        <v>1877</v>
      </c>
      <c r="E931" s="5" t="s">
        <v>195</v>
      </c>
      <c r="F931" s="5" t="s">
        <v>24</v>
      </c>
      <c r="G931" s="25"/>
      <c r="H931" s="10"/>
    </row>
    <row r="932" spans="1:16" s="5" customFormat="1" x14ac:dyDescent="0.25">
      <c r="A932" s="5" t="s">
        <v>1874</v>
      </c>
      <c r="B932" s="5" t="s">
        <v>3727</v>
      </c>
      <c r="C932" s="5" t="s">
        <v>3728</v>
      </c>
      <c r="D932" s="5" t="s">
        <v>1877</v>
      </c>
      <c r="E932" s="5" t="s">
        <v>24</v>
      </c>
      <c r="F932" s="5" t="s">
        <v>24</v>
      </c>
      <c r="G932" s="25">
        <v>30</v>
      </c>
      <c r="H932" s="10"/>
    </row>
    <row r="933" spans="1:16" s="5" customFormat="1" x14ac:dyDescent="0.25">
      <c r="A933" s="5" t="s">
        <v>1874</v>
      </c>
      <c r="B933" s="5" t="s">
        <v>3729</v>
      </c>
      <c r="C933" s="5" t="s">
        <v>3730</v>
      </c>
      <c r="D933" s="5" t="s">
        <v>1877</v>
      </c>
      <c r="E933" s="5" t="s">
        <v>195</v>
      </c>
      <c r="F933" s="5" t="s">
        <v>24</v>
      </c>
      <c r="G933" s="25"/>
      <c r="H933" s="10"/>
    </row>
    <row r="934" spans="1:16" s="5" customFormat="1" x14ac:dyDescent="0.25">
      <c r="A934" s="5" t="s">
        <v>1874</v>
      </c>
      <c r="B934" s="5" t="s">
        <v>3731</v>
      </c>
      <c r="C934" s="5" t="s">
        <v>3732</v>
      </c>
      <c r="D934" s="5" t="s">
        <v>1877</v>
      </c>
      <c r="E934" s="5" t="s">
        <v>195</v>
      </c>
      <c r="F934" s="5" t="s">
        <v>24</v>
      </c>
      <c r="G934" s="25"/>
      <c r="H934" s="10"/>
    </row>
    <row r="935" spans="1:16" s="5" customFormat="1" x14ac:dyDescent="0.25">
      <c r="A935" s="5" t="s">
        <v>1874</v>
      </c>
      <c r="B935" s="5" t="s">
        <v>3733</v>
      </c>
      <c r="C935" s="5" t="s">
        <v>3734</v>
      </c>
      <c r="D935" s="5" t="s">
        <v>1877</v>
      </c>
      <c r="E935" s="5" t="s">
        <v>24</v>
      </c>
      <c r="F935" s="5" t="s">
        <v>24</v>
      </c>
      <c r="G935" s="25"/>
      <c r="H935" s="10"/>
    </row>
    <row r="936" spans="1:16" s="5" customFormat="1" x14ac:dyDescent="0.25">
      <c r="A936" s="5" t="s">
        <v>1874</v>
      </c>
      <c r="B936" s="5" t="s">
        <v>3735</v>
      </c>
      <c r="C936" s="5" t="s">
        <v>3736</v>
      </c>
      <c r="D936" s="5" t="s">
        <v>1877</v>
      </c>
      <c r="E936" s="5" t="s">
        <v>195</v>
      </c>
      <c r="F936" s="5" t="s">
        <v>24</v>
      </c>
      <c r="G936" s="25"/>
      <c r="H936" s="10"/>
    </row>
    <row r="937" spans="1:16" s="5" customFormat="1" x14ac:dyDescent="0.25">
      <c r="A937" s="5" t="s">
        <v>1874</v>
      </c>
      <c r="B937" s="5" t="s">
        <v>3737</v>
      </c>
      <c r="C937" s="5" t="s">
        <v>3738</v>
      </c>
      <c r="D937" s="5" t="s">
        <v>1877</v>
      </c>
      <c r="E937" s="5" t="s">
        <v>195</v>
      </c>
      <c r="F937" s="5" t="s">
        <v>24</v>
      </c>
      <c r="G937" s="25"/>
      <c r="H937" s="10"/>
    </row>
    <row r="938" spans="1:16" s="5" customFormat="1" x14ac:dyDescent="0.25">
      <c r="A938" s="5" t="s">
        <v>1874</v>
      </c>
      <c r="B938" s="5" t="s">
        <v>3739</v>
      </c>
      <c r="C938" s="5" t="s">
        <v>3740</v>
      </c>
      <c r="D938" s="5" t="s">
        <v>1877</v>
      </c>
      <c r="E938" s="5" t="s">
        <v>24</v>
      </c>
      <c r="F938" s="5" t="s">
        <v>24</v>
      </c>
      <c r="G938" s="25"/>
      <c r="H938" s="10"/>
    </row>
    <row r="939" spans="1:16" s="5" customFormat="1" x14ac:dyDescent="0.25">
      <c r="A939" s="5" t="s">
        <v>1874</v>
      </c>
      <c r="B939" s="5" t="s">
        <v>3741</v>
      </c>
      <c r="C939" s="5" t="s">
        <v>3742</v>
      </c>
      <c r="D939" s="5" t="s">
        <v>1877</v>
      </c>
      <c r="E939" s="5" t="s">
        <v>24</v>
      </c>
      <c r="F939" s="5" t="s">
        <v>24</v>
      </c>
      <c r="G939" s="25"/>
      <c r="H939" s="10"/>
    </row>
    <row r="940" spans="1:16" s="5" customFormat="1" x14ac:dyDescent="0.25">
      <c r="A940" s="5" t="s">
        <v>1874</v>
      </c>
      <c r="B940" s="5" t="s">
        <v>3743</v>
      </c>
      <c r="C940" s="5" t="s">
        <v>3744</v>
      </c>
      <c r="D940" s="5" t="s">
        <v>1877</v>
      </c>
      <c r="E940" s="5" t="s">
        <v>195</v>
      </c>
      <c r="F940" s="5" t="s">
        <v>24</v>
      </c>
      <c r="G940" s="25"/>
      <c r="H940" s="10"/>
    </row>
    <row r="941" spans="1:16" s="5" customFormat="1" x14ac:dyDescent="0.25">
      <c r="A941" s="5" t="s">
        <v>1874</v>
      </c>
      <c r="B941" s="5" t="s">
        <v>3745</v>
      </c>
      <c r="C941" s="5" t="s">
        <v>3746</v>
      </c>
      <c r="D941" s="5" t="s">
        <v>1877</v>
      </c>
      <c r="E941" s="5" t="s">
        <v>195</v>
      </c>
      <c r="F941" s="5" t="s">
        <v>24</v>
      </c>
      <c r="G941" s="25"/>
      <c r="H941" s="10"/>
    </row>
    <row r="942" spans="1:16" s="5" customFormat="1" x14ac:dyDescent="0.25">
      <c r="A942" s="5" t="s">
        <v>1874</v>
      </c>
      <c r="B942" s="5" t="s">
        <v>3747</v>
      </c>
      <c r="C942" s="5" t="s">
        <v>3748</v>
      </c>
      <c r="D942" s="5" t="s">
        <v>1877</v>
      </c>
      <c r="E942" s="5" t="s">
        <v>24</v>
      </c>
      <c r="F942" s="5" t="s">
        <v>24</v>
      </c>
      <c r="G942" s="25"/>
      <c r="H942" s="10"/>
    </row>
    <row r="943" spans="1:16" s="5" customFormat="1" x14ac:dyDescent="0.25">
      <c r="A943" s="5" t="s">
        <v>1874</v>
      </c>
      <c r="B943" s="5" t="s">
        <v>3749</v>
      </c>
      <c r="C943" s="5" t="s">
        <v>3750</v>
      </c>
      <c r="D943" s="5" t="s">
        <v>1877</v>
      </c>
      <c r="E943" s="5" t="s">
        <v>195</v>
      </c>
      <c r="F943" s="5" t="s">
        <v>24</v>
      </c>
      <c r="G943" s="25"/>
      <c r="H943" s="10"/>
    </row>
    <row r="944" spans="1:16" s="5" customFormat="1" x14ac:dyDescent="0.25">
      <c r="A944" s="5" t="s">
        <v>1874</v>
      </c>
      <c r="B944" s="5" t="s">
        <v>3751</v>
      </c>
      <c r="C944" s="5" t="s">
        <v>3752</v>
      </c>
      <c r="D944" s="5" t="s">
        <v>1877</v>
      </c>
      <c r="E944" s="5" t="s">
        <v>195</v>
      </c>
      <c r="F944" s="5" t="s">
        <v>24</v>
      </c>
      <c r="G944" s="25"/>
      <c r="H944" s="10"/>
    </row>
    <row r="945" spans="1:8" s="5" customFormat="1" x14ac:dyDescent="0.25">
      <c r="A945" s="5" t="s">
        <v>1874</v>
      </c>
      <c r="B945" s="5" t="s">
        <v>3753</v>
      </c>
      <c r="C945" s="5" t="s">
        <v>3754</v>
      </c>
      <c r="D945" s="5" t="s">
        <v>1877</v>
      </c>
      <c r="E945" s="5" t="s">
        <v>24</v>
      </c>
      <c r="F945" s="5" t="s">
        <v>24</v>
      </c>
      <c r="G945" s="25"/>
      <c r="H945" s="10"/>
    </row>
    <row r="946" spans="1:8" s="5" customFormat="1" x14ac:dyDescent="0.25">
      <c r="A946" s="5" t="s">
        <v>1874</v>
      </c>
      <c r="B946" s="5" t="s">
        <v>3755</v>
      </c>
      <c r="C946" s="5" t="s">
        <v>3756</v>
      </c>
      <c r="D946" s="5" t="s">
        <v>1877</v>
      </c>
      <c r="E946" s="5" t="s">
        <v>195</v>
      </c>
      <c r="F946" s="5" t="s">
        <v>24</v>
      </c>
      <c r="G946" s="25"/>
      <c r="H946" s="10"/>
    </row>
    <row r="947" spans="1:8" s="5" customFormat="1" x14ac:dyDescent="0.25">
      <c r="A947" s="5" t="s">
        <v>1874</v>
      </c>
      <c r="B947" s="5" t="s">
        <v>3757</v>
      </c>
      <c r="C947" s="5" t="s">
        <v>3758</v>
      </c>
      <c r="D947" s="5" t="s">
        <v>1877</v>
      </c>
      <c r="E947" s="5" t="s">
        <v>195</v>
      </c>
      <c r="F947" s="5" t="s">
        <v>24</v>
      </c>
      <c r="G947" s="25"/>
      <c r="H947" s="10"/>
    </row>
    <row r="948" spans="1:8" s="5" customFormat="1" x14ac:dyDescent="0.25">
      <c r="A948" s="5" t="s">
        <v>1874</v>
      </c>
      <c r="B948" s="5" t="s">
        <v>3759</v>
      </c>
      <c r="C948" s="5" t="s">
        <v>3760</v>
      </c>
      <c r="D948" s="5" t="s">
        <v>1877</v>
      </c>
      <c r="E948" s="5" t="s">
        <v>195</v>
      </c>
      <c r="F948" s="5" t="s">
        <v>24</v>
      </c>
      <c r="G948" s="25"/>
      <c r="H948" s="10"/>
    </row>
    <row r="949" spans="1:8" s="5" customFormat="1" x14ac:dyDescent="0.25">
      <c r="A949" s="5" t="s">
        <v>1874</v>
      </c>
      <c r="B949" s="5" t="s">
        <v>3761</v>
      </c>
      <c r="C949" s="5" t="s">
        <v>3762</v>
      </c>
      <c r="D949" s="5" t="s">
        <v>1877</v>
      </c>
      <c r="E949" s="5" t="s">
        <v>24</v>
      </c>
      <c r="F949" s="5" t="s">
        <v>24</v>
      </c>
      <c r="G949" s="25"/>
      <c r="H949" s="10"/>
    </row>
    <row r="950" spans="1:8" s="5" customFormat="1" x14ac:dyDescent="0.25">
      <c r="A950" s="5" t="s">
        <v>1874</v>
      </c>
      <c r="B950" s="5" t="s">
        <v>3763</v>
      </c>
      <c r="C950" s="5" t="s">
        <v>3764</v>
      </c>
      <c r="D950" s="5" t="s">
        <v>1877</v>
      </c>
      <c r="E950" s="5" t="s">
        <v>195</v>
      </c>
      <c r="F950" s="5" t="s">
        <v>24</v>
      </c>
      <c r="G950" s="25"/>
      <c r="H950" s="10"/>
    </row>
    <row r="951" spans="1:8" s="5" customFormat="1" x14ac:dyDescent="0.25">
      <c r="A951" s="5" t="s">
        <v>1874</v>
      </c>
      <c r="B951" s="5" t="s">
        <v>3765</v>
      </c>
      <c r="C951" s="5" t="s">
        <v>3766</v>
      </c>
      <c r="D951" s="5" t="s">
        <v>1877</v>
      </c>
      <c r="E951" s="5" t="s">
        <v>24</v>
      </c>
      <c r="F951" s="5" t="s">
        <v>24</v>
      </c>
      <c r="G951" s="25"/>
      <c r="H951" s="10"/>
    </row>
    <row r="952" spans="1:8" s="5" customFormat="1" x14ac:dyDescent="0.25">
      <c r="A952" s="5" t="s">
        <v>1874</v>
      </c>
      <c r="B952" s="5" t="s">
        <v>3767</v>
      </c>
      <c r="C952" s="5" t="s">
        <v>3768</v>
      </c>
      <c r="D952" s="5" t="s">
        <v>1877</v>
      </c>
      <c r="E952" s="5" t="s">
        <v>24</v>
      </c>
      <c r="F952" s="5" t="s">
        <v>24</v>
      </c>
      <c r="G952" s="25"/>
      <c r="H952" s="10"/>
    </row>
    <row r="953" spans="1:8" s="5" customFormat="1" x14ac:dyDescent="0.25">
      <c r="A953" s="5" t="s">
        <v>1874</v>
      </c>
      <c r="B953" s="5" t="s">
        <v>3769</v>
      </c>
      <c r="C953" s="5" t="s">
        <v>3770</v>
      </c>
      <c r="D953" s="5" t="s">
        <v>1877</v>
      </c>
      <c r="E953" s="5" t="s">
        <v>195</v>
      </c>
      <c r="F953" s="5" t="s">
        <v>24</v>
      </c>
      <c r="G953" s="25"/>
      <c r="H953" s="10"/>
    </row>
    <row r="954" spans="1:8" s="5" customFormat="1" x14ac:dyDescent="0.25">
      <c r="A954" s="5" t="s">
        <v>1874</v>
      </c>
      <c r="B954" s="5" t="s">
        <v>3771</v>
      </c>
      <c r="C954" s="5" t="s">
        <v>3772</v>
      </c>
      <c r="D954" s="5" t="s">
        <v>1877</v>
      </c>
      <c r="E954" s="5" t="s">
        <v>195</v>
      </c>
      <c r="F954" s="5" t="s">
        <v>24</v>
      </c>
      <c r="G954" s="25"/>
      <c r="H954" s="10"/>
    </row>
    <row r="955" spans="1:8" s="5" customFormat="1" x14ac:dyDescent="0.25">
      <c r="A955" s="5" t="s">
        <v>1874</v>
      </c>
      <c r="B955" s="5" t="s">
        <v>3773</v>
      </c>
      <c r="C955" s="5" t="s">
        <v>3774</v>
      </c>
      <c r="D955" s="5" t="s">
        <v>1877</v>
      </c>
      <c r="E955" s="5" t="s">
        <v>24</v>
      </c>
      <c r="F955" s="5" t="s">
        <v>24</v>
      </c>
      <c r="G955" s="25"/>
      <c r="H955" s="10"/>
    </row>
    <row r="956" spans="1:8" s="5" customFormat="1" x14ac:dyDescent="0.25">
      <c r="A956" s="5" t="s">
        <v>1874</v>
      </c>
      <c r="B956" s="5" t="s">
        <v>3775</v>
      </c>
      <c r="C956" s="5" t="s">
        <v>3776</v>
      </c>
      <c r="D956" s="5" t="s">
        <v>1877</v>
      </c>
      <c r="E956" s="5" t="s">
        <v>195</v>
      </c>
      <c r="F956" s="5" t="s">
        <v>24</v>
      </c>
      <c r="G956" s="25"/>
      <c r="H956" s="10"/>
    </row>
    <row r="957" spans="1:8" s="5" customFormat="1" x14ac:dyDescent="0.25">
      <c r="A957" s="5" t="s">
        <v>1874</v>
      </c>
      <c r="B957" s="5" t="s">
        <v>3777</v>
      </c>
      <c r="C957" s="5" t="s">
        <v>3778</v>
      </c>
      <c r="D957" s="5" t="s">
        <v>1877</v>
      </c>
      <c r="E957" s="5" t="s">
        <v>24</v>
      </c>
      <c r="F957" s="5" t="s">
        <v>24</v>
      </c>
      <c r="G957" s="25"/>
      <c r="H957" s="10"/>
    </row>
    <row r="958" spans="1:8" s="5" customFormat="1" ht="15" customHeight="1" x14ac:dyDescent="0.25">
      <c r="A958" s="5" t="s">
        <v>1874</v>
      </c>
      <c r="B958" s="5" t="s">
        <v>3779</v>
      </c>
      <c r="C958" s="5" t="s">
        <v>3780</v>
      </c>
      <c r="D958" s="5" t="s">
        <v>1877</v>
      </c>
      <c r="E958" s="5" t="s">
        <v>195</v>
      </c>
      <c r="F958" s="5" t="s">
        <v>24</v>
      </c>
      <c r="G958" s="25"/>
      <c r="H958" s="10"/>
    </row>
    <row r="959" spans="1:8" s="5" customFormat="1" x14ac:dyDescent="0.25">
      <c r="A959" s="5" t="s">
        <v>1874</v>
      </c>
      <c r="B959" s="5" t="s">
        <v>3781</v>
      </c>
      <c r="C959" s="5" t="s">
        <v>3782</v>
      </c>
      <c r="D959" s="5" t="s">
        <v>1877</v>
      </c>
      <c r="E959" s="5" t="s">
        <v>195</v>
      </c>
      <c r="F959" s="5" t="s">
        <v>24</v>
      </c>
      <c r="G959" s="25"/>
      <c r="H959" s="10"/>
    </row>
    <row r="960" spans="1:8" s="5" customFormat="1" x14ac:dyDescent="0.25">
      <c r="A960" s="5" t="s">
        <v>1874</v>
      </c>
      <c r="B960" s="5" t="s">
        <v>3783</v>
      </c>
      <c r="C960" s="5" t="s">
        <v>3784</v>
      </c>
      <c r="D960" s="5" t="s">
        <v>1877</v>
      </c>
      <c r="E960" s="5" t="s">
        <v>195</v>
      </c>
      <c r="F960" s="5" t="s">
        <v>24</v>
      </c>
      <c r="G960" s="25"/>
      <c r="H960" s="10"/>
    </row>
    <row r="961" spans="1:8" s="5" customFormat="1" x14ac:dyDescent="0.25">
      <c r="A961" s="5" t="s">
        <v>1874</v>
      </c>
      <c r="B961" s="5" t="s">
        <v>3785</v>
      </c>
      <c r="C961" s="5" t="s">
        <v>3786</v>
      </c>
      <c r="D961" s="5" t="s">
        <v>1877</v>
      </c>
      <c r="E961" s="5" t="s">
        <v>195</v>
      </c>
      <c r="F961" s="5" t="s">
        <v>24</v>
      </c>
      <c r="G961" s="25"/>
      <c r="H961" s="10"/>
    </row>
    <row r="962" spans="1:8" s="5" customFormat="1" ht="30" x14ac:dyDescent="0.25">
      <c r="A962" s="5" t="s">
        <v>1878</v>
      </c>
      <c r="B962" s="5" t="s">
        <v>3787</v>
      </c>
      <c r="C962" s="5" t="s">
        <v>3788</v>
      </c>
      <c r="D962" s="5" t="s">
        <v>1881</v>
      </c>
      <c r="E962" s="5" t="s">
        <v>195</v>
      </c>
      <c r="F962" s="5" t="s">
        <v>24</v>
      </c>
      <c r="G962" s="25"/>
      <c r="H962" s="10"/>
    </row>
    <row r="963" spans="1:8" s="5" customFormat="1" x14ac:dyDescent="0.25">
      <c r="A963" s="5" t="s">
        <v>1874</v>
      </c>
      <c r="B963" s="5" t="s">
        <v>3789</v>
      </c>
      <c r="C963" s="5" t="s">
        <v>3790</v>
      </c>
      <c r="D963" s="5" t="s">
        <v>1877</v>
      </c>
      <c r="E963" s="5" t="s">
        <v>24</v>
      </c>
      <c r="F963" s="5" t="s">
        <v>24</v>
      </c>
      <c r="G963" s="25"/>
      <c r="H963" s="10"/>
    </row>
    <row r="964" spans="1:8" s="5" customFormat="1" x14ac:dyDescent="0.25">
      <c r="A964" s="5" t="s">
        <v>1874</v>
      </c>
      <c r="B964" s="5" t="s">
        <v>3791</v>
      </c>
      <c r="C964" s="5" t="s">
        <v>3792</v>
      </c>
      <c r="D964" s="5" t="s">
        <v>2228</v>
      </c>
      <c r="E964" s="5" t="s">
        <v>24</v>
      </c>
      <c r="F964" s="5" t="s">
        <v>24</v>
      </c>
      <c r="G964" s="25">
        <v>20</v>
      </c>
      <c r="H964" s="10"/>
    </row>
    <row r="965" spans="1:8" s="5" customFormat="1" x14ac:dyDescent="0.25">
      <c r="A965" s="5" t="s">
        <v>1874</v>
      </c>
      <c r="B965" s="5" t="s">
        <v>3793</v>
      </c>
      <c r="C965" s="5" t="s">
        <v>3794</v>
      </c>
      <c r="D965" s="5" t="s">
        <v>1877</v>
      </c>
      <c r="E965" s="5" t="s">
        <v>24</v>
      </c>
      <c r="F965" s="5" t="s">
        <v>24</v>
      </c>
      <c r="G965" s="25"/>
      <c r="H965" s="10"/>
    </row>
    <row r="966" spans="1:8" s="5" customFormat="1" x14ac:dyDescent="0.25">
      <c r="A966" s="5" t="s">
        <v>1874</v>
      </c>
      <c r="B966" s="5" t="s">
        <v>3795</v>
      </c>
      <c r="C966" s="5" t="s">
        <v>3796</v>
      </c>
      <c r="D966" s="5" t="s">
        <v>1877</v>
      </c>
      <c r="E966" s="5" t="s">
        <v>24</v>
      </c>
      <c r="F966" s="5" t="s">
        <v>24</v>
      </c>
      <c r="G966" s="25"/>
      <c r="H966" s="10"/>
    </row>
    <row r="967" spans="1:8" s="5" customFormat="1" x14ac:dyDescent="0.25">
      <c r="A967" s="5" t="s">
        <v>1874</v>
      </c>
      <c r="B967" s="5" t="s">
        <v>3797</v>
      </c>
      <c r="C967" s="5" t="s">
        <v>3798</v>
      </c>
      <c r="D967" s="5" t="s">
        <v>1913</v>
      </c>
      <c r="E967" s="5" t="s">
        <v>195</v>
      </c>
      <c r="F967" s="5" t="s">
        <v>24</v>
      </c>
      <c r="G967" s="25"/>
      <c r="H967" s="10"/>
    </row>
    <row r="968" spans="1:8" s="5" customFormat="1" x14ac:dyDescent="0.25">
      <c r="A968" s="5" t="s">
        <v>1874</v>
      </c>
      <c r="B968" s="5" t="s">
        <v>3799</v>
      </c>
      <c r="C968" s="5" t="s">
        <v>3800</v>
      </c>
      <c r="D968" s="5" t="s">
        <v>1877</v>
      </c>
      <c r="E968" s="5" t="s">
        <v>195</v>
      </c>
      <c r="F968" s="5" t="s">
        <v>24</v>
      </c>
      <c r="G968" s="25"/>
      <c r="H968" s="10"/>
    </row>
    <row r="969" spans="1:8" s="5" customFormat="1" x14ac:dyDescent="0.25">
      <c r="A969" s="5" t="s">
        <v>1874</v>
      </c>
      <c r="B969" s="5" t="s">
        <v>3801</v>
      </c>
      <c r="C969" s="5" t="s">
        <v>3802</v>
      </c>
      <c r="D969" s="5" t="s">
        <v>1877</v>
      </c>
      <c r="E969" s="5" t="s">
        <v>195</v>
      </c>
      <c r="F969" s="5" t="s">
        <v>24</v>
      </c>
      <c r="G969" s="25"/>
      <c r="H969" s="10"/>
    </row>
    <row r="970" spans="1:8" s="5" customFormat="1" x14ac:dyDescent="0.25">
      <c r="A970" s="5" t="s">
        <v>1874</v>
      </c>
      <c r="B970" s="5" t="s">
        <v>3803</v>
      </c>
      <c r="C970" s="5" t="s">
        <v>3804</v>
      </c>
      <c r="D970" s="5" t="s">
        <v>1877</v>
      </c>
      <c r="E970" s="5" t="s">
        <v>195</v>
      </c>
      <c r="F970" s="5" t="s">
        <v>24</v>
      </c>
      <c r="G970" s="25"/>
      <c r="H970" s="10"/>
    </row>
    <row r="971" spans="1:8" s="5" customFormat="1" x14ac:dyDescent="0.25">
      <c r="A971" s="5" t="s">
        <v>1874</v>
      </c>
      <c r="B971" s="5" t="s">
        <v>3805</v>
      </c>
      <c r="C971" s="5" t="s">
        <v>3806</v>
      </c>
      <c r="D971" s="5" t="s">
        <v>1877</v>
      </c>
      <c r="E971" s="5" t="s">
        <v>24</v>
      </c>
      <c r="F971" s="5" t="s">
        <v>24</v>
      </c>
      <c r="G971" s="25"/>
      <c r="H971" s="10"/>
    </row>
    <row r="972" spans="1:8" s="5" customFormat="1" x14ac:dyDescent="0.25">
      <c r="A972" s="5" t="s">
        <v>1874</v>
      </c>
      <c r="B972" s="5" t="s">
        <v>3807</v>
      </c>
      <c r="C972" s="5" t="s">
        <v>3808</v>
      </c>
      <c r="D972" s="5" t="s">
        <v>1877</v>
      </c>
      <c r="E972" s="5" t="s">
        <v>24</v>
      </c>
      <c r="F972" s="5" t="s">
        <v>24</v>
      </c>
      <c r="G972" s="25"/>
      <c r="H972" s="10"/>
    </row>
    <row r="973" spans="1:8" s="5" customFormat="1" ht="15" customHeight="1" x14ac:dyDescent="0.25">
      <c r="A973" s="5" t="s">
        <v>1874</v>
      </c>
      <c r="B973" s="5" t="s">
        <v>3809</v>
      </c>
      <c r="C973" s="5" t="s">
        <v>3810</v>
      </c>
      <c r="D973" s="5" t="s">
        <v>2030</v>
      </c>
      <c r="E973" s="5" t="s">
        <v>195</v>
      </c>
      <c r="F973" s="5" t="s">
        <v>24</v>
      </c>
      <c r="G973" s="25"/>
      <c r="H973" s="10"/>
    </row>
    <row r="974" spans="1:8" s="5" customFormat="1" x14ac:dyDescent="0.25">
      <c r="A974" s="5" t="s">
        <v>1874</v>
      </c>
      <c r="B974" s="5" t="s">
        <v>3811</v>
      </c>
      <c r="C974" s="5" t="s">
        <v>3812</v>
      </c>
      <c r="D974" s="5" t="s">
        <v>1877</v>
      </c>
      <c r="E974" s="5" t="s">
        <v>195</v>
      </c>
      <c r="F974" s="5" t="s">
        <v>24</v>
      </c>
      <c r="G974" s="25"/>
      <c r="H974" s="10"/>
    </row>
    <row r="975" spans="1:8" s="5" customFormat="1" x14ac:dyDescent="0.25">
      <c r="A975" s="5" t="s">
        <v>1874</v>
      </c>
      <c r="B975" s="5" t="s">
        <v>3813</v>
      </c>
      <c r="C975" s="5" t="s">
        <v>3814</v>
      </c>
      <c r="D975" s="5" t="s">
        <v>1877</v>
      </c>
      <c r="E975" s="5" t="s">
        <v>24</v>
      </c>
      <c r="F975" s="5" t="s">
        <v>24</v>
      </c>
      <c r="G975" s="25">
        <v>20</v>
      </c>
      <c r="H975" s="10"/>
    </row>
    <row r="976" spans="1:8" s="5" customFormat="1" x14ac:dyDescent="0.25">
      <c r="A976" s="5" t="s">
        <v>1874</v>
      </c>
      <c r="B976" s="5" t="s">
        <v>3815</v>
      </c>
      <c r="C976" s="5" t="s">
        <v>3816</v>
      </c>
      <c r="D976" s="5" t="s">
        <v>1877</v>
      </c>
      <c r="E976" s="5" t="s">
        <v>24</v>
      </c>
      <c r="F976" s="5" t="s">
        <v>24</v>
      </c>
      <c r="G976" s="25"/>
      <c r="H976" s="10"/>
    </row>
    <row r="977" spans="1:16" s="5" customFormat="1" ht="30" x14ac:dyDescent="0.25">
      <c r="A977" s="5" t="s">
        <v>1878</v>
      </c>
      <c r="B977" s="5" t="s">
        <v>3817</v>
      </c>
      <c r="C977" s="5" t="s">
        <v>3818</v>
      </c>
      <c r="D977" s="5" t="s">
        <v>1881</v>
      </c>
      <c r="E977" s="5" t="s">
        <v>24</v>
      </c>
      <c r="F977" s="5" t="s">
        <v>24</v>
      </c>
      <c r="G977" s="25"/>
      <c r="H977" s="10"/>
    </row>
    <row r="978" spans="1:16" s="5" customFormat="1" x14ac:dyDescent="0.25">
      <c r="A978" s="5" t="s">
        <v>1874</v>
      </c>
      <c r="B978" s="5" t="s">
        <v>3819</v>
      </c>
      <c r="C978" s="5" t="s">
        <v>3820</v>
      </c>
      <c r="D978" s="5" t="s">
        <v>1877</v>
      </c>
      <c r="E978" s="5" t="s">
        <v>24</v>
      </c>
      <c r="F978" s="5" t="s">
        <v>24</v>
      </c>
      <c r="G978" s="25"/>
      <c r="H978" s="10"/>
    </row>
    <row r="979" spans="1:16" s="5" customFormat="1" x14ac:dyDescent="0.25">
      <c r="A979" s="5" t="s">
        <v>1874</v>
      </c>
      <c r="B979" s="5" t="s">
        <v>3821</v>
      </c>
      <c r="C979" s="5" t="s">
        <v>3822</v>
      </c>
      <c r="D979" s="5" t="s">
        <v>1877</v>
      </c>
      <c r="E979" s="5" t="s">
        <v>24</v>
      </c>
      <c r="F979" s="5" t="s">
        <v>24</v>
      </c>
      <c r="G979" s="25"/>
      <c r="H979" s="10"/>
    </row>
    <row r="980" spans="1:16" s="5" customFormat="1" x14ac:dyDescent="0.25">
      <c r="A980" s="5" t="s">
        <v>1874</v>
      </c>
      <c r="B980" s="5" t="s">
        <v>3823</v>
      </c>
      <c r="C980" s="5" t="s">
        <v>3824</v>
      </c>
      <c r="D980" s="5" t="s">
        <v>1877</v>
      </c>
      <c r="E980" s="5" t="s">
        <v>24</v>
      </c>
      <c r="F980" s="5" t="s">
        <v>24</v>
      </c>
      <c r="G980" s="25"/>
      <c r="H980" s="10"/>
    </row>
    <row r="981" spans="1:16" s="5" customFormat="1" x14ac:dyDescent="0.25">
      <c r="A981" s="5" t="s">
        <v>1874</v>
      </c>
      <c r="B981" s="5" t="s">
        <v>3825</v>
      </c>
      <c r="C981" s="5" t="s">
        <v>3826</v>
      </c>
      <c r="D981" s="5" t="s">
        <v>1877</v>
      </c>
      <c r="E981" s="5" t="s">
        <v>195</v>
      </c>
      <c r="F981" s="5" t="s">
        <v>24</v>
      </c>
      <c r="G981" s="25"/>
      <c r="H981" s="10"/>
    </row>
    <row r="982" spans="1:16" s="5" customFormat="1" x14ac:dyDescent="0.25">
      <c r="A982" s="5" t="s">
        <v>1874</v>
      </c>
      <c r="B982" s="5" t="s">
        <v>3827</v>
      </c>
      <c r="C982" s="5" t="s">
        <v>3828</v>
      </c>
      <c r="D982" s="5" t="s">
        <v>1877</v>
      </c>
      <c r="E982" s="5" t="s">
        <v>195</v>
      </c>
      <c r="F982" s="5" t="s">
        <v>24</v>
      </c>
      <c r="G982" s="25"/>
      <c r="H982" s="10"/>
    </row>
    <row r="983" spans="1:16" s="5" customFormat="1" x14ac:dyDescent="0.25">
      <c r="A983" s="5" t="s">
        <v>1874</v>
      </c>
      <c r="B983" s="5" t="s">
        <v>3829</v>
      </c>
      <c r="C983" s="5" t="s">
        <v>3830</v>
      </c>
      <c r="D983" s="5" t="s">
        <v>1877</v>
      </c>
      <c r="E983" s="5" t="s">
        <v>195</v>
      </c>
      <c r="F983" s="5" t="s">
        <v>24</v>
      </c>
      <c r="G983" s="25"/>
      <c r="H983" s="10"/>
    </row>
    <row r="984" spans="1:16" s="5" customFormat="1" x14ac:dyDescent="0.25">
      <c r="A984" s="5" t="s">
        <v>1874</v>
      </c>
      <c r="B984" s="5" t="s">
        <v>3831</v>
      </c>
      <c r="C984" s="5" t="s">
        <v>3832</v>
      </c>
      <c r="D984" s="5" t="s">
        <v>1877</v>
      </c>
      <c r="E984" s="5" t="s">
        <v>195</v>
      </c>
      <c r="F984" s="5" t="s">
        <v>24</v>
      </c>
      <c r="G984" s="25"/>
      <c r="H984" s="10"/>
    </row>
    <row r="985" spans="1:16" s="5" customFormat="1" x14ac:dyDescent="0.25">
      <c r="A985" s="5" t="s">
        <v>1874</v>
      </c>
      <c r="B985" s="5" t="s">
        <v>3833</v>
      </c>
      <c r="C985" s="5" t="s">
        <v>3834</v>
      </c>
      <c r="D985" s="5" t="s">
        <v>1894</v>
      </c>
      <c r="E985" s="5" t="s">
        <v>24</v>
      </c>
      <c r="F985" s="5" t="s">
        <v>24</v>
      </c>
      <c r="G985" s="25"/>
      <c r="H985" s="10"/>
    </row>
    <row r="986" spans="1:16" s="5" customFormat="1" x14ac:dyDescent="0.25">
      <c r="A986" s="5" t="s">
        <v>1874</v>
      </c>
      <c r="B986" s="5" t="s">
        <v>3835</v>
      </c>
      <c r="C986" s="5" t="s">
        <v>3836</v>
      </c>
      <c r="D986" s="5" t="s">
        <v>1877</v>
      </c>
      <c r="E986" s="5" t="s">
        <v>24</v>
      </c>
      <c r="F986" s="5" t="s">
        <v>24</v>
      </c>
      <c r="G986" s="25"/>
      <c r="H986" s="10"/>
    </row>
    <row r="987" spans="1:16" s="5" customFormat="1" x14ac:dyDescent="0.25">
      <c r="A987" s="5" t="s">
        <v>1878</v>
      </c>
      <c r="B987" s="5" t="s">
        <v>3837</v>
      </c>
      <c r="C987" s="5" t="s">
        <v>3838</v>
      </c>
      <c r="D987" s="5" t="s">
        <v>1917</v>
      </c>
      <c r="E987" s="5" t="s">
        <v>24</v>
      </c>
      <c r="F987" s="5" t="s">
        <v>24</v>
      </c>
      <c r="G987" s="25"/>
      <c r="H987" s="10" t="str">
        <f>HYPERLINK("https://doc.morningstar.com/Document/3a1ddbf5469114887f4441e82cd274ff.msdoc?clientid=fnz&amp;key=9c0e4d166b60ffd3","TMD")</f>
        <v>TMD</v>
      </c>
      <c r="I987" s="5" t="s">
        <v>25</v>
      </c>
      <c r="J987" s="5" t="s">
        <v>25</v>
      </c>
      <c r="K987" s="5" t="s">
        <v>25</v>
      </c>
      <c r="L987" s="5" t="s">
        <v>25</v>
      </c>
      <c r="M987" s="5" t="s">
        <v>26</v>
      </c>
      <c r="N987" s="5" t="s">
        <v>26</v>
      </c>
      <c r="O987" s="5" t="s">
        <v>27</v>
      </c>
      <c r="P987" s="5" t="s">
        <v>27</v>
      </c>
    </row>
    <row r="988" spans="1:16" s="5" customFormat="1" x14ac:dyDescent="0.25">
      <c r="A988" s="5" t="s">
        <v>1874</v>
      </c>
      <c r="B988" s="5" t="s">
        <v>3839</v>
      </c>
      <c r="C988" s="5" t="s">
        <v>3840</v>
      </c>
      <c r="D988" s="5" t="s">
        <v>1877</v>
      </c>
      <c r="E988" s="5" t="s">
        <v>195</v>
      </c>
      <c r="F988" s="5" t="s">
        <v>24</v>
      </c>
      <c r="G988" s="25"/>
      <c r="H988" s="10"/>
    </row>
    <row r="989" spans="1:16" s="5" customFormat="1" x14ac:dyDescent="0.25">
      <c r="A989" s="5" t="s">
        <v>1874</v>
      </c>
      <c r="B989" s="5" t="s">
        <v>3841</v>
      </c>
      <c r="C989" s="5" t="s">
        <v>3842</v>
      </c>
      <c r="D989" s="5" t="s">
        <v>1877</v>
      </c>
      <c r="E989" s="5" t="s">
        <v>195</v>
      </c>
      <c r="F989" s="5" t="s">
        <v>24</v>
      </c>
      <c r="G989" s="25"/>
      <c r="H989" s="10"/>
    </row>
    <row r="990" spans="1:16" s="5" customFormat="1" x14ac:dyDescent="0.25">
      <c r="A990" s="5" t="s">
        <v>1874</v>
      </c>
      <c r="B990" s="5" t="s">
        <v>3843</v>
      </c>
      <c r="C990" s="5" t="s">
        <v>3844</v>
      </c>
      <c r="D990" s="5" t="s">
        <v>1877</v>
      </c>
      <c r="E990" s="5" t="s">
        <v>195</v>
      </c>
      <c r="F990" s="5" t="s">
        <v>24</v>
      </c>
      <c r="G990" s="25"/>
      <c r="H990" s="10"/>
    </row>
    <row r="991" spans="1:16" s="5" customFormat="1" x14ac:dyDescent="0.25">
      <c r="A991" s="5" t="s">
        <v>1874</v>
      </c>
      <c r="B991" s="5" t="s">
        <v>3845</v>
      </c>
      <c r="C991" s="5" t="s">
        <v>3846</v>
      </c>
      <c r="D991" s="5" t="s">
        <v>1877</v>
      </c>
      <c r="E991" s="5" t="s">
        <v>195</v>
      </c>
      <c r="F991" s="5" t="s">
        <v>24</v>
      </c>
      <c r="G991" s="25"/>
      <c r="H991" s="10"/>
    </row>
    <row r="992" spans="1:16" s="5" customFormat="1" x14ac:dyDescent="0.25">
      <c r="A992" s="5" t="s">
        <v>1874</v>
      </c>
      <c r="B992" s="5" t="s">
        <v>3847</v>
      </c>
      <c r="C992" s="5" t="s">
        <v>3848</v>
      </c>
      <c r="D992" s="5" t="s">
        <v>1877</v>
      </c>
      <c r="E992" s="5" t="s">
        <v>195</v>
      </c>
      <c r="F992" s="5" t="s">
        <v>24</v>
      </c>
      <c r="G992" s="25"/>
      <c r="H992" s="10"/>
    </row>
    <row r="993" spans="1:16" s="5" customFormat="1" x14ac:dyDescent="0.25">
      <c r="A993" s="5" t="s">
        <v>1874</v>
      </c>
      <c r="B993" s="5" t="s">
        <v>3849</v>
      </c>
      <c r="C993" s="5" t="s">
        <v>3850</v>
      </c>
      <c r="D993" s="5" t="s">
        <v>1877</v>
      </c>
      <c r="E993" s="5" t="s">
        <v>195</v>
      </c>
      <c r="F993" s="5" t="s">
        <v>24</v>
      </c>
      <c r="G993" s="25"/>
      <c r="H993" s="10"/>
    </row>
    <row r="994" spans="1:16" s="5" customFormat="1" x14ac:dyDescent="0.25">
      <c r="A994" s="5" t="s">
        <v>1874</v>
      </c>
      <c r="B994" s="5" t="s">
        <v>3851</v>
      </c>
      <c r="C994" s="5" t="s">
        <v>3852</v>
      </c>
      <c r="D994" s="5" t="s">
        <v>1877</v>
      </c>
      <c r="E994" s="5" t="s">
        <v>195</v>
      </c>
      <c r="F994" s="5" t="s">
        <v>24</v>
      </c>
      <c r="G994" s="25"/>
      <c r="H994" s="10"/>
    </row>
    <row r="995" spans="1:16" s="5" customFormat="1" x14ac:dyDescent="0.25">
      <c r="A995" s="5" t="s">
        <v>1874</v>
      </c>
      <c r="B995" s="5" t="s">
        <v>3853</v>
      </c>
      <c r="C995" s="5" t="s">
        <v>3854</v>
      </c>
      <c r="D995" s="5" t="s">
        <v>1877</v>
      </c>
      <c r="E995" s="5" t="s">
        <v>24</v>
      </c>
      <c r="F995" s="5" t="s">
        <v>24</v>
      </c>
      <c r="G995" s="25"/>
      <c r="H995" s="10"/>
    </row>
    <row r="996" spans="1:16" s="5" customFormat="1" x14ac:dyDescent="0.25">
      <c r="A996" s="5" t="s">
        <v>1874</v>
      </c>
      <c r="B996" s="5" t="s">
        <v>3855</v>
      </c>
      <c r="C996" s="5" t="s">
        <v>3856</v>
      </c>
      <c r="D996" s="5" t="s">
        <v>1877</v>
      </c>
      <c r="E996" s="5" t="s">
        <v>195</v>
      </c>
      <c r="F996" s="5" t="s">
        <v>24</v>
      </c>
      <c r="G996" s="25"/>
      <c r="H996" s="10"/>
    </row>
    <row r="997" spans="1:16" s="5" customFormat="1" x14ac:dyDescent="0.25">
      <c r="A997" s="5" t="s">
        <v>1874</v>
      </c>
      <c r="B997" s="5" t="s">
        <v>3857</v>
      </c>
      <c r="C997" s="5" t="s">
        <v>3858</v>
      </c>
      <c r="D997" s="5" t="s">
        <v>1877</v>
      </c>
      <c r="E997" s="5" t="s">
        <v>24</v>
      </c>
      <c r="F997" s="5" t="s">
        <v>24</v>
      </c>
      <c r="G997" s="25"/>
      <c r="H997" s="10"/>
    </row>
    <row r="998" spans="1:16" s="5" customFormat="1" x14ac:dyDescent="0.25">
      <c r="A998" s="5" t="s">
        <v>1874</v>
      </c>
      <c r="B998" s="5" t="s">
        <v>3859</v>
      </c>
      <c r="C998" s="5" t="s">
        <v>3860</v>
      </c>
      <c r="D998" s="5" t="s">
        <v>1877</v>
      </c>
      <c r="E998" s="5" t="s">
        <v>195</v>
      </c>
      <c r="F998" s="5" t="s">
        <v>24</v>
      </c>
      <c r="G998" s="25"/>
      <c r="H998" s="10"/>
    </row>
    <row r="999" spans="1:16" s="5" customFormat="1" x14ac:dyDescent="0.25">
      <c r="A999" s="5" t="s">
        <v>1874</v>
      </c>
      <c r="B999" s="5" t="s">
        <v>3861</v>
      </c>
      <c r="C999" s="5" t="s">
        <v>3862</v>
      </c>
      <c r="D999" s="5" t="s">
        <v>1877</v>
      </c>
      <c r="E999" s="5" t="s">
        <v>195</v>
      </c>
      <c r="F999" s="5" t="s">
        <v>24</v>
      </c>
      <c r="G999" s="25"/>
      <c r="H999" s="10"/>
    </row>
    <row r="1000" spans="1:16" s="5" customFormat="1" x14ac:dyDescent="0.25">
      <c r="A1000" s="5" t="s">
        <v>1874</v>
      </c>
      <c r="B1000" s="5" t="s">
        <v>3863</v>
      </c>
      <c r="C1000" s="5" t="s">
        <v>3864</v>
      </c>
      <c r="D1000" s="5" t="s">
        <v>1913</v>
      </c>
      <c r="E1000" s="5" t="s">
        <v>195</v>
      </c>
      <c r="F1000" s="5" t="s">
        <v>24</v>
      </c>
      <c r="G1000" s="25"/>
      <c r="H1000" s="10"/>
    </row>
    <row r="1001" spans="1:16" s="5" customFormat="1" x14ac:dyDescent="0.25">
      <c r="A1001" s="5" t="s">
        <v>1874</v>
      </c>
      <c r="B1001" s="5" t="s">
        <v>3865</v>
      </c>
      <c r="C1001" s="5" t="s">
        <v>3866</v>
      </c>
      <c r="D1001" s="5" t="s">
        <v>1913</v>
      </c>
      <c r="E1001" s="5" t="s">
        <v>195</v>
      </c>
      <c r="F1001" s="5" t="s">
        <v>24</v>
      </c>
      <c r="G1001" s="25"/>
      <c r="H1001" s="10"/>
    </row>
    <row r="1002" spans="1:16" s="5" customFormat="1" x14ac:dyDescent="0.25">
      <c r="A1002" s="5" t="s">
        <v>1874</v>
      </c>
      <c r="B1002" s="5" t="s">
        <v>3867</v>
      </c>
      <c r="C1002" s="5" t="s">
        <v>3868</v>
      </c>
      <c r="D1002" s="5" t="s">
        <v>1877</v>
      </c>
      <c r="E1002" s="5" t="s">
        <v>195</v>
      </c>
      <c r="F1002" s="5" t="s">
        <v>24</v>
      </c>
      <c r="G1002" s="25"/>
      <c r="H1002" s="10"/>
    </row>
    <row r="1003" spans="1:16" s="5" customFormat="1" x14ac:dyDescent="0.25">
      <c r="A1003" s="5" t="s">
        <v>1874</v>
      </c>
      <c r="B1003" s="5" t="s">
        <v>3869</v>
      </c>
      <c r="C1003" s="5" t="s">
        <v>3870</v>
      </c>
      <c r="D1003" s="5" t="s">
        <v>1877</v>
      </c>
      <c r="E1003" s="5" t="s">
        <v>24</v>
      </c>
      <c r="F1003" s="5" t="s">
        <v>24</v>
      </c>
      <c r="G1003" s="25"/>
      <c r="H1003" s="10"/>
    </row>
    <row r="1004" spans="1:16" s="5" customFormat="1" x14ac:dyDescent="0.25">
      <c r="A1004" s="5" t="s">
        <v>1874</v>
      </c>
      <c r="B1004" s="5" t="s">
        <v>3871</v>
      </c>
      <c r="C1004" s="5" t="s">
        <v>3872</v>
      </c>
      <c r="D1004" s="5" t="s">
        <v>2030</v>
      </c>
      <c r="E1004" s="5" t="s">
        <v>24</v>
      </c>
      <c r="F1004" s="5" t="s">
        <v>24</v>
      </c>
      <c r="G1004" s="25"/>
      <c r="H1004" s="10"/>
    </row>
    <row r="1005" spans="1:16" s="5" customFormat="1" x14ac:dyDescent="0.25">
      <c r="A1005" s="5" t="s">
        <v>1914</v>
      </c>
      <c r="B1005" s="5" t="s">
        <v>3873</v>
      </c>
      <c r="C1005" s="5" t="s">
        <v>3874</v>
      </c>
      <c r="D1005" s="5" t="s">
        <v>1917</v>
      </c>
      <c r="E1005" s="5" t="s">
        <v>195</v>
      </c>
      <c r="F1005" s="5" t="s">
        <v>24</v>
      </c>
      <c r="G1005" s="25"/>
      <c r="H1005" s="10" t="str">
        <f>HYPERLINK("https://doc.morningstar.com/Document/eaf6897217789ad9183bcc66cc97d010.msdoc?clientid=fnz&amp;key=9c0e4d166b60ffd3","TMD")</f>
        <v>TMD</v>
      </c>
      <c r="I1005" s="5" t="s">
        <v>25</v>
      </c>
      <c r="J1005" s="5" t="s">
        <v>25</v>
      </c>
      <c r="K1005" s="5" t="s">
        <v>25</v>
      </c>
      <c r="L1005" s="5" t="s">
        <v>25</v>
      </c>
      <c r="M1005" s="5" t="s">
        <v>26</v>
      </c>
      <c r="N1005" s="5" t="s">
        <v>26</v>
      </c>
      <c r="O1005" s="5" t="s">
        <v>26</v>
      </c>
      <c r="P1005" s="5" t="s">
        <v>27</v>
      </c>
    </row>
    <row r="1006" spans="1:16" s="5" customFormat="1" x14ac:dyDescent="0.25">
      <c r="A1006" s="5" t="s">
        <v>1914</v>
      </c>
      <c r="B1006" s="5" t="s">
        <v>3875</v>
      </c>
      <c r="C1006" s="5" t="s">
        <v>3876</v>
      </c>
      <c r="D1006" s="5" t="s">
        <v>1917</v>
      </c>
      <c r="E1006" s="5" t="s">
        <v>24</v>
      </c>
      <c r="F1006" s="5" t="s">
        <v>24</v>
      </c>
      <c r="G1006" s="25">
        <v>100</v>
      </c>
      <c r="H1006" s="10" t="str">
        <f>HYPERLINK("https://doc.morningstar.com/Document/3a72c4840bd7823c2d0a0b629e6f3798.msdoc?clientid=fnz&amp;key=9c0e4d166b60ffd3","TMD")</f>
        <v>TMD</v>
      </c>
      <c r="I1006" s="5" t="s">
        <v>25</v>
      </c>
      <c r="J1006" s="5" t="s">
        <v>25</v>
      </c>
      <c r="K1006" s="5" t="s">
        <v>25</v>
      </c>
      <c r="L1006" s="5" t="s">
        <v>25</v>
      </c>
      <c r="M1006" s="5" t="s">
        <v>26</v>
      </c>
      <c r="N1006" s="5" t="s">
        <v>27</v>
      </c>
      <c r="O1006" s="5" t="s">
        <v>27</v>
      </c>
      <c r="P1006" s="5" t="s">
        <v>27</v>
      </c>
    </row>
    <row r="1007" spans="1:16" s="5" customFormat="1" x14ac:dyDescent="0.25">
      <c r="A1007" s="5" t="s">
        <v>1914</v>
      </c>
      <c r="B1007" s="5" t="s">
        <v>3877</v>
      </c>
      <c r="C1007" s="5" t="s">
        <v>3878</v>
      </c>
      <c r="D1007" s="5" t="s">
        <v>1917</v>
      </c>
      <c r="E1007" s="5" t="s">
        <v>24</v>
      </c>
      <c r="F1007" s="5" t="s">
        <v>24</v>
      </c>
      <c r="G1007" s="25">
        <v>100</v>
      </c>
      <c r="H1007" s="10" t="str">
        <f>HYPERLINK("https://doc.morningstar.com/Document/a1c18a2d21c6a83ef30d5784d3415c1f.msdoc?clientid=fnz&amp;key=9c0e4d166b60ffd3","TMD")</f>
        <v>TMD</v>
      </c>
      <c r="I1007" s="5" t="s">
        <v>25</v>
      </c>
      <c r="J1007" s="5" t="s">
        <v>25</v>
      </c>
      <c r="K1007" s="5" t="s">
        <v>25</v>
      </c>
      <c r="L1007" s="5" t="s">
        <v>25</v>
      </c>
      <c r="M1007" s="5" t="s">
        <v>26</v>
      </c>
      <c r="N1007" s="5" t="s">
        <v>26</v>
      </c>
      <c r="O1007" s="5" t="s">
        <v>26</v>
      </c>
      <c r="P1007" s="5" t="s">
        <v>27</v>
      </c>
    </row>
    <row r="1008" spans="1:16" s="5" customFormat="1" x14ac:dyDescent="0.25">
      <c r="A1008" s="5" t="s">
        <v>1874</v>
      </c>
      <c r="B1008" s="5" t="s">
        <v>3879</v>
      </c>
      <c r="C1008" s="5" t="s">
        <v>3880</v>
      </c>
      <c r="D1008" s="5" t="s">
        <v>1877</v>
      </c>
      <c r="E1008" s="5" t="s">
        <v>195</v>
      </c>
      <c r="F1008" s="5" t="s">
        <v>24</v>
      </c>
      <c r="G1008" s="25"/>
      <c r="H1008" s="10"/>
    </row>
    <row r="1009" spans="1:16" s="5" customFormat="1" ht="15" customHeight="1" x14ac:dyDescent="0.25">
      <c r="A1009" s="5" t="s">
        <v>1874</v>
      </c>
      <c r="B1009" s="5" t="s">
        <v>3881</v>
      </c>
      <c r="C1009" s="5" t="s">
        <v>3882</v>
      </c>
      <c r="D1009" s="5" t="s">
        <v>1877</v>
      </c>
      <c r="E1009" s="5" t="s">
        <v>195</v>
      </c>
      <c r="F1009" s="5" t="s">
        <v>24</v>
      </c>
      <c r="G1009" s="25"/>
      <c r="H1009" s="10"/>
    </row>
    <row r="1010" spans="1:16" s="5" customFormat="1" x14ac:dyDescent="0.25">
      <c r="A1010" s="5" t="s">
        <v>1874</v>
      </c>
      <c r="B1010" s="5" t="s">
        <v>3883</v>
      </c>
      <c r="C1010" s="5" t="s">
        <v>3884</v>
      </c>
      <c r="D1010" s="5" t="s">
        <v>1877</v>
      </c>
      <c r="E1010" s="5" t="s">
        <v>24</v>
      </c>
      <c r="F1010" s="5" t="s">
        <v>24</v>
      </c>
      <c r="G1010" s="25"/>
      <c r="H1010" s="10"/>
    </row>
    <row r="1011" spans="1:16" s="5" customFormat="1" x14ac:dyDescent="0.25">
      <c r="A1011" s="5" t="s">
        <v>1988</v>
      </c>
      <c r="B1011" s="5" t="s">
        <v>3885</v>
      </c>
      <c r="C1011" s="5" t="s">
        <v>3886</v>
      </c>
      <c r="D1011" s="5" t="s">
        <v>2121</v>
      </c>
      <c r="E1011" s="5" t="s">
        <v>195</v>
      </c>
      <c r="F1011" s="5" t="s">
        <v>24</v>
      </c>
      <c r="G1011" s="25"/>
      <c r="H1011" s="10"/>
    </row>
    <row r="1012" spans="1:16" s="5" customFormat="1" x14ac:dyDescent="0.25">
      <c r="A1012" s="5" t="s">
        <v>1874</v>
      </c>
      <c r="B1012" s="5" t="s">
        <v>3887</v>
      </c>
      <c r="C1012" s="5" t="s">
        <v>3888</v>
      </c>
      <c r="D1012" s="5" t="s">
        <v>1877</v>
      </c>
      <c r="E1012" s="5" t="s">
        <v>195</v>
      </c>
      <c r="F1012" s="5" t="s">
        <v>24</v>
      </c>
      <c r="G1012" s="25"/>
      <c r="H1012" s="10"/>
    </row>
    <row r="1013" spans="1:16" s="5" customFormat="1" x14ac:dyDescent="0.25">
      <c r="A1013" s="5" t="s">
        <v>1874</v>
      </c>
      <c r="B1013" s="5" t="s">
        <v>3889</v>
      </c>
      <c r="C1013" s="5" t="s">
        <v>3890</v>
      </c>
      <c r="D1013" s="5" t="s">
        <v>1877</v>
      </c>
      <c r="E1013" s="5" t="s">
        <v>24</v>
      </c>
      <c r="F1013" s="5" t="s">
        <v>24</v>
      </c>
      <c r="G1013" s="25"/>
      <c r="H1013" s="10"/>
    </row>
    <row r="1014" spans="1:16" s="5" customFormat="1" x14ac:dyDescent="0.25">
      <c r="A1014" s="5" t="s">
        <v>1874</v>
      </c>
      <c r="B1014" s="5" t="s">
        <v>3891</v>
      </c>
      <c r="C1014" s="5" t="s">
        <v>3892</v>
      </c>
      <c r="D1014" s="5" t="s">
        <v>1877</v>
      </c>
      <c r="E1014" s="5" t="s">
        <v>195</v>
      </c>
      <c r="F1014" s="5" t="s">
        <v>24</v>
      </c>
      <c r="G1014" s="25"/>
      <c r="H1014" s="10"/>
    </row>
    <row r="1015" spans="1:16" s="5" customFormat="1" x14ac:dyDescent="0.25">
      <c r="A1015" s="5" t="s">
        <v>1874</v>
      </c>
      <c r="B1015" s="5" t="s">
        <v>3893</v>
      </c>
      <c r="C1015" s="5" t="s">
        <v>3894</v>
      </c>
      <c r="D1015" s="5" t="s">
        <v>1877</v>
      </c>
      <c r="E1015" s="5" t="s">
        <v>195</v>
      </c>
      <c r="F1015" s="5" t="s">
        <v>24</v>
      </c>
      <c r="G1015" s="25"/>
      <c r="H1015" s="10"/>
    </row>
    <row r="1016" spans="1:16" s="5" customFormat="1" x14ac:dyDescent="0.25">
      <c r="A1016" s="5" t="s">
        <v>1874</v>
      </c>
      <c r="B1016" s="5" t="s">
        <v>3895</v>
      </c>
      <c r="C1016" s="5" t="s">
        <v>3896</v>
      </c>
      <c r="D1016" s="5" t="s">
        <v>1877</v>
      </c>
      <c r="E1016" s="5" t="s">
        <v>195</v>
      </c>
      <c r="F1016" s="5" t="s">
        <v>24</v>
      </c>
      <c r="G1016" s="25"/>
      <c r="H1016" s="10"/>
    </row>
    <row r="1017" spans="1:16" s="5" customFormat="1" ht="30" x14ac:dyDescent="0.25">
      <c r="A1017" s="5" t="s">
        <v>1878</v>
      </c>
      <c r="B1017" s="5" t="s">
        <v>3897</v>
      </c>
      <c r="C1017" s="5" t="s">
        <v>3898</v>
      </c>
      <c r="D1017" s="5" t="s">
        <v>1881</v>
      </c>
      <c r="E1017" s="5" t="s">
        <v>24</v>
      </c>
      <c r="F1017" s="5" t="s">
        <v>24</v>
      </c>
      <c r="G1017" s="25"/>
      <c r="H1017" s="10"/>
    </row>
    <row r="1018" spans="1:16" s="5" customFormat="1" x14ac:dyDescent="0.25">
      <c r="A1018" s="5" t="s">
        <v>1874</v>
      </c>
      <c r="B1018" s="5" t="s">
        <v>3899</v>
      </c>
      <c r="C1018" s="5" t="s">
        <v>3900</v>
      </c>
      <c r="D1018" s="5" t="s">
        <v>1877</v>
      </c>
      <c r="E1018" s="5" t="s">
        <v>195</v>
      </c>
      <c r="F1018" s="5" t="s">
        <v>24</v>
      </c>
      <c r="G1018" s="25"/>
      <c r="H1018" s="10"/>
    </row>
    <row r="1019" spans="1:16" s="5" customFormat="1" x14ac:dyDescent="0.25">
      <c r="A1019" s="5" t="s">
        <v>1914</v>
      </c>
      <c r="B1019" s="5" t="s">
        <v>3901</v>
      </c>
      <c r="C1019" s="5" t="s">
        <v>3902</v>
      </c>
      <c r="D1019" s="5" t="s">
        <v>1917</v>
      </c>
      <c r="E1019" s="5" t="s">
        <v>195</v>
      </c>
      <c r="F1019" s="5" t="s">
        <v>24</v>
      </c>
      <c r="G1019" s="25"/>
      <c r="H1019" s="10" t="str">
        <f>HYPERLINK("https://doc.morningstar.com/Document/1da6296de017137525e39f4cb22ef607.msdoc?clientid=fnz&amp;key=9c0e4d166b60ffd3","TMD")</f>
        <v>TMD</v>
      </c>
      <c r="I1019" s="5" t="s">
        <v>25</v>
      </c>
      <c r="J1019" s="5" t="s">
        <v>25</v>
      </c>
      <c r="K1019" s="5" t="s">
        <v>25</v>
      </c>
      <c r="L1019" s="5" t="s">
        <v>25</v>
      </c>
      <c r="M1019" s="5" t="s">
        <v>26</v>
      </c>
      <c r="N1019" s="5" t="s">
        <v>27</v>
      </c>
      <c r="O1019" s="5" t="s">
        <v>27</v>
      </c>
      <c r="P1019" s="5" t="s">
        <v>26</v>
      </c>
    </row>
    <row r="1020" spans="1:16" s="5" customFormat="1" x14ac:dyDescent="0.25">
      <c r="A1020" s="5" t="s">
        <v>1914</v>
      </c>
      <c r="B1020" s="5" t="s">
        <v>3903</v>
      </c>
      <c r="C1020" s="5" t="s">
        <v>3904</v>
      </c>
      <c r="D1020" s="5" t="s">
        <v>1917</v>
      </c>
      <c r="E1020" s="5" t="s">
        <v>24</v>
      </c>
      <c r="F1020" s="5" t="s">
        <v>24</v>
      </c>
      <c r="G1020" s="25">
        <v>100</v>
      </c>
      <c r="H1020" s="10" t="str">
        <f>HYPERLINK("https://doc.morningstar.com/Document/a4c10841daa8ac54f085ff8c1fbef67e.msdoc?clientid=fnz&amp;key=9c0e4d166b60ffd3","TMD")</f>
        <v>TMD</v>
      </c>
      <c r="I1020" s="5" t="s">
        <v>25</v>
      </c>
      <c r="J1020" s="5" t="s">
        <v>25</v>
      </c>
      <c r="K1020" s="5" t="s">
        <v>25</v>
      </c>
      <c r="L1020" s="5" t="s">
        <v>25</v>
      </c>
      <c r="M1020" s="5" t="s">
        <v>25</v>
      </c>
      <c r="N1020" s="5" t="s">
        <v>25</v>
      </c>
      <c r="O1020" s="5" t="s">
        <v>25</v>
      </c>
      <c r="P1020" s="5" t="s">
        <v>25</v>
      </c>
    </row>
    <row r="1021" spans="1:16" s="5" customFormat="1" ht="30" x14ac:dyDescent="0.25">
      <c r="A1021" s="5" t="s">
        <v>1914</v>
      </c>
      <c r="B1021" s="5" t="s">
        <v>3905</v>
      </c>
      <c r="C1021" s="5" t="s">
        <v>3906</v>
      </c>
      <c r="D1021" s="5" t="s">
        <v>1917</v>
      </c>
      <c r="E1021" s="5" t="s">
        <v>195</v>
      </c>
      <c r="F1021" s="5" t="s">
        <v>24</v>
      </c>
      <c r="G1021" s="25"/>
      <c r="H1021" s="10" t="str">
        <f>HYPERLINK("https://doc.morningstar.com/Document/6d01f34558ffa003cd82ff2018075207.msdoc?clientid=fnz&amp;key=9c0e4d166b60ffd3","TMD")</f>
        <v>TMD</v>
      </c>
      <c r="I1021" s="5" t="s">
        <v>25</v>
      </c>
      <c r="J1021" s="5" t="s">
        <v>25</v>
      </c>
      <c r="K1021" s="5" t="s">
        <v>25</v>
      </c>
      <c r="L1021" s="5" t="s">
        <v>25</v>
      </c>
      <c r="M1021" s="5" t="s">
        <v>25</v>
      </c>
      <c r="N1021" s="5" t="s">
        <v>25</v>
      </c>
      <c r="O1021" s="5" t="s">
        <v>25</v>
      </c>
      <c r="P1021" s="5" t="s">
        <v>25</v>
      </c>
    </row>
    <row r="1022" spans="1:16" s="5" customFormat="1" x14ac:dyDescent="0.25">
      <c r="A1022" s="5" t="s">
        <v>1914</v>
      </c>
      <c r="B1022" s="5" t="s">
        <v>3907</v>
      </c>
      <c r="C1022" s="5" t="s">
        <v>3908</v>
      </c>
      <c r="D1022" s="5" t="s">
        <v>1917</v>
      </c>
      <c r="E1022" s="5" t="s">
        <v>24</v>
      </c>
      <c r="F1022" s="5" t="s">
        <v>24</v>
      </c>
      <c r="G1022" s="25">
        <v>70</v>
      </c>
      <c r="H1022" s="10" t="str">
        <f>HYPERLINK("https://doc.morningstar.com/Document/6d01f34558ffa003284551efd3193a7b.msdoc?clientid=fnz&amp;key=9c0e4d166b60ffd3","TMD")</f>
        <v>TMD</v>
      </c>
      <c r="I1022" s="5" t="s">
        <v>25</v>
      </c>
      <c r="J1022" s="5" t="s">
        <v>25</v>
      </c>
      <c r="K1022" s="5" t="s">
        <v>25</v>
      </c>
      <c r="L1022" s="5" t="s">
        <v>25</v>
      </c>
      <c r="M1022" s="5" t="s">
        <v>26</v>
      </c>
      <c r="N1022" s="5" t="s">
        <v>27</v>
      </c>
      <c r="O1022" s="5" t="s">
        <v>27</v>
      </c>
      <c r="P1022" s="5" t="s">
        <v>27</v>
      </c>
    </row>
    <row r="1023" spans="1:16" s="5" customFormat="1" x14ac:dyDescent="0.25">
      <c r="A1023" s="5" t="s">
        <v>1874</v>
      </c>
      <c r="B1023" s="5" t="s">
        <v>3909</v>
      </c>
      <c r="C1023" s="5" t="s">
        <v>3910</v>
      </c>
      <c r="D1023" s="5" t="s">
        <v>1877</v>
      </c>
      <c r="E1023" s="5" t="s">
        <v>195</v>
      </c>
      <c r="F1023" s="5" t="s">
        <v>24</v>
      </c>
      <c r="G1023" s="25"/>
      <c r="H1023" s="10"/>
    </row>
    <row r="1024" spans="1:16" s="5" customFormat="1" x14ac:dyDescent="0.25">
      <c r="A1024" s="5" t="s">
        <v>1874</v>
      </c>
      <c r="B1024" s="5" t="s">
        <v>3911</v>
      </c>
      <c r="C1024" s="5" t="s">
        <v>3912</v>
      </c>
      <c r="D1024" s="5" t="s">
        <v>1877</v>
      </c>
      <c r="E1024" s="5" t="s">
        <v>195</v>
      </c>
      <c r="F1024" s="5" t="s">
        <v>24</v>
      </c>
      <c r="G1024" s="25"/>
      <c r="H1024" s="10"/>
    </row>
    <row r="1025" spans="1:8" s="5" customFormat="1" x14ac:dyDescent="0.25">
      <c r="A1025" s="5" t="s">
        <v>1874</v>
      </c>
      <c r="B1025" s="5" t="s">
        <v>3913</v>
      </c>
      <c r="C1025" s="5" t="s">
        <v>3914</v>
      </c>
      <c r="D1025" s="5" t="s">
        <v>1877</v>
      </c>
      <c r="E1025" s="5" t="s">
        <v>195</v>
      </c>
      <c r="F1025" s="5" t="s">
        <v>24</v>
      </c>
      <c r="G1025" s="25"/>
      <c r="H1025" s="10"/>
    </row>
    <row r="1026" spans="1:8" s="5" customFormat="1" x14ac:dyDescent="0.25">
      <c r="A1026" s="5" t="s">
        <v>1874</v>
      </c>
      <c r="B1026" s="5" t="s">
        <v>3915</v>
      </c>
      <c r="C1026" s="5" t="s">
        <v>3916</v>
      </c>
      <c r="D1026" s="5" t="s">
        <v>1877</v>
      </c>
      <c r="E1026" s="5" t="s">
        <v>24</v>
      </c>
      <c r="F1026" s="5" t="s">
        <v>24</v>
      </c>
      <c r="G1026" s="25"/>
      <c r="H1026" s="10"/>
    </row>
    <row r="1027" spans="1:8" s="5" customFormat="1" x14ac:dyDescent="0.25">
      <c r="A1027" s="5" t="s">
        <v>1874</v>
      </c>
      <c r="B1027" s="5" t="s">
        <v>3917</v>
      </c>
      <c r="C1027" s="5" t="s">
        <v>3918</v>
      </c>
      <c r="D1027" s="5" t="s">
        <v>1877</v>
      </c>
      <c r="E1027" s="5" t="s">
        <v>24</v>
      </c>
      <c r="F1027" s="5" t="s">
        <v>24</v>
      </c>
      <c r="G1027" s="25"/>
      <c r="H1027" s="10"/>
    </row>
    <row r="1028" spans="1:8" s="5" customFormat="1" x14ac:dyDescent="0.25">
      <c r="A1028" s="5" t="s">
        <v>1874</v>
      </c>
      <c r="B1028" s="5" t="s">
        <v>3919</v>
      </c>
      <c r="C1028" s="5" t="s">
        <v>3920</v>
      </c>
      <c r="D1028" s="5" t="s">
        <v>1877</v>
      </c>
      <c r="E1028" s="5" t="s">
        <v>195</v>
      </c>
      <c r="F1028" s="5" t="s">
        <v>24</v>
      </c>
      <c r="G1028" s="25"/>
      <c r="H1028" s="10"/>
    </row>
    <row r="1029" spans="1:8" s="5" customFormat="1" x14ac:dyDescent="0.25">
      <c r="A1029" s="5" t="s">
        <v>1874</v>
      </c>
      <c r="B1029" s="5" t="s">
        <v>3921</v>
      </c>
      <c r="C1029" s="5" t="s">
        <v>3922</v>
      </c>
      <c r="D1029" s="5" t="s">
        <v>1877</v>
      </c>
      <c r="E1029" s="5" t="s">
        <v>24</v>
      </c>
      <c r="F1029" s="5" t="s">
        <v>24</v>
      </c>
      <c r="G1029" s="25"/>
      <c r="H1029" s="10"/>
    </row>
    <row r="1030" spans="1:8" s="5" customFormat="1" x14ac:dyDescent="0.25">
      <c r="A1030" s="5" t="s">
        <v>1874</v>
      </c>
      <c r="B1030" s="5" t="s">
        <v>3923</v>
      </c>
      <c r="C1030" s="5" t="s">
        <v>3924</v>
      </c>
      <c r="D1030" s="5" t="s">
        <v>1877</v>
      </c>
      <c r="E1030" s="5" t="s">
        <v>195</v>
      </c>
      <c r="F1030" s="5" t="s">
        <v>24</v>
      </c>
      <c r="G1030" s="25"/>
      <c r="H1030" s="10"/>
    </row>
    <row r="1031" spans="1:8" s="5" customFormat="1" x14ac:dyDescent="0.25">
      <c r="A1031" s="5" t="s">
        <v>1874</v>
      </c>
      <c r="B1031" s="5" t="s">
        <v>3925</v>
      </c>
      <c r="C1031" s="5" t="s">
        <v>3926</v>
      </c>
      <c r="D1031" s="5" t="s">
        <v>1877</v>
      </c>
      <c r="E1031" s="5" t="s">
        <v>24</v>
      </c>
      <c r="F1031" s="5" t="s">
        <v>24</v>
      </c>
      <c r="G1031" s="25"/>
      <c r="H1031" s="10"/>
    </row>
    <row r="1032" spans="1:8" s="5" customFormat="1" x14ac:dyDescent="0.25">
      <c r="A1032" s="5" t="s">
        <v>1874</v>
      </c>
      <c r="B1032" s="5" t="s">
        <v>3927</v>
      </c>
      <c r="C1032" s="5" t="s">
        <v>3928</v>
      </c>
      <c r="D1032" s="5" t="s">
        <v>1877</v>
      </c>
      <c r="E1032" s="5" t="s">
        <v>195</v>
      </c>
      <c r="F1032" s="5" t="s">
        <v>24</v>
      </c>
      <c r="G1032" s="25"/>
      <c r="H1032" s="10"/>
    </row>
    <row r="1033" spans="1:8" s="5" customFormat="1" x14ac:dyDescent="0.25">
      <c r="A1033" s="5" t="s">
        <v>1874</v>
      </c>
      <c r="B1033" s="5" t="s">
        <v>3929</v>
      </c>
      <c r="C1033" s="5" t="s">
        <v>3930</v>
      </c>
      <c r="D1033" s="5" t="s">
        <v>1877</v>
      </c>
      <c r="E1033" s="5" t="s">
        <v>195</v>
      </c>
      <c r="F1033" s="5" t="s">
        <v>24</v>
      </c>
      <c r="G1033" s="25"/>
      <c r="H1033" s="10"/>
    </row>
    <row r="1034" spans="1:8" s="5" customFormat="1" x14ac:dyDescent="0.25">
      <c r="A1034" s="5" t="s">
        <v>1874</v>
      </c>
      <c r="B1034" s="5" t="s">
        <v>3931</v>
      </c>
      <c r="C1034" s="5" t="s">
        <v>3932</v>
      </c>
      <c r="D1034" s="5" t="s">
        <v>1877</v>
      </c>
      <c r="E1034" s="5" t="s">
        <v>195</v>
      </c>
      <c r="F1034" s="5" t="s">
        <v>24</v>
      </c>
      <c r="G1034" s="25"/>
      <c r="H1034" s="10"/>
    </row>
    <row r="1035" spans="1:8" s="5" customFormat="1" x14ac:dyDescent="0.25">
      <c r="A1035" s="5" t="s">
        <v>1874</v>
      </c>
      <c r="B1035" s="5" t="s">
        <v>3933</v>
      </c>
      <c r="C1035" s="5" t="s">
        <v>3934</v>
      </c>
      <c r="D1035" s="5" t="s">
        <v>1877</v>
      </c>
      <c r="E1035" s="5" t="s">
        <v>24</v>
      </c>
      <c r="F1035" s="5" t="s">
        <v>24</v>
      </c>
      <c r="G1035" s="25"/>
      <c r="H1035" s="10"/>
    </row>
    <row r="1036" spans="1:8" s="5" customFormat="1" x14ac:dyDescent="0.25">
      <c r="A1036" s="5" t="s">
        <v>1874</v>
      </c>
      <c r="B1036" s="5" t="s">
        <v>3935</v>
      </c>
      <c r="C1036" s="5" t="s">
        <v>3936</v>
      </c>
      <c r="D1036" s="5" t="s">
        <v>1877</v>
      </c>
      <c r="E1036" s="5" t="s">
        <v>24</v>
      </c>
      <c r="F1036" s="5" t="s">
        <v>24</v>
      </c>
      <c r="G1036" s="25"/>
      <c r="H1036" s="10"/>
    </row>
    <row r="1037" spans="1:8" s="5" customFormat="1" x14ac:dyDescent="0.25">
      <c r="A1037" s="5" t="s">
        <v>1874</v>
      </c>
      <c r="B1037" s="5" t="s">
        <v>3937</v>
      </c>
      <c r="C1037" s="5" t="s">
        <v>3938</v>
      </c>
      <c r="D1037" s="5" t="s">
        <v>1877</v>
      </c>
      <c r="E1037" s="5" t="s">
        <v>195</v>
      </c>
      <c r="F1037" s="5" t="s">
        <v>24</v>
      </c>
      <c r="G1037" s="25"/>
      <c r="H1037" s="10"/>
    </row>
    <row r="1038" spans="1:8" s="5" customFormat="1" x14ac:dyDescent="0.25">
      <c r="A1038" s="5" t="s">
        <v>1874</v>
      </c>
      <c r="B1038" s="5" t="s">
        <v>3939</v>
      </c>
      <c r="C1038" s="5" t="s">
        <v>3940</v>
      </c>
      <c r="D1038" s="5" t="s">
        <v>1877</v>
      </c>
      <c r="E1038" s="5" t="s">
        <v>24</v>
      </c>
      <c r="F1038" s="5" t="s">
        <v>24</v>
      </c>
      <c r="G1038" s="25"/>
      <c r="H1038" s="10"/>
    </row>
    <row r="1039" spans="1:8" s="5" customFormat="1" x14ac:dyDescent="0.25">
      <c r="A1039" s="5" t="s">
        <v>1874</v>
      </c>
      <c r="B1039" s="5" t="s">
        <v>3941</v>
      </c>
      <c r="C1039" s="5" t="s">
        <v>3942</v>
      </c>
      <c r="D1039" s="5" t="s">
        <v>1877</v>
      </c>
      <c r="E1039" s="5" t="s">
        <v>195</v>
      </c>
      <c r="F1039" s="5" t="s">
        <v>24</v>
      </c>
      <c r="G1039" s="25"/>
      <c r="H1039" s="10"/>
    </row>
    <row r="1040" spans="1:8" s="5" customFormat="1" x14ac:dyDescent="0.25">
      <c r="A1040" s="5" t="s">
        <v>1874</v>
      </c>
      <c r="B1040" s="5" t="s">
        <v>3943</v>
      </c>
      <c r="C1040" s="5" t="s">
        <v>3944</v>
      </c>
      <c r="D1040" s="5" t="s">
        <v>1877</v>
      </c>
      <c r="E1040" s="5" t="s">
        <v>24</v>
      </c>
      <c r="F1040" s="5" t="s">
        <v>24</v>
      </c>
      <c r="G1040" s="25"/>
      <c r="H1040" s="10"/>
    </row>
    <row r="1041" spans="1:16" s="5" customFormat="1" x14ac:dyDescent="0.25">
      <c r="A1041" s="5" t="s">
        <v>1874</v>
      </c>
      <c r="B1041" s="5" t="s">
        <v>3945</v>
      </c>
      <c r="C1041" s="5" t="s">
        <v>3946</v>
      </c>
      <c r="D1041" s="5" t="s">
        <v>1877</v>
      </c>
      <c r="E1041" s="5" t="s">
        <v>195</v>
      </c>
      <c r="F1041" s="5" t="s">
        <v>24</v>
      </c>
      <c r="G1041" s="25"/>
      <c r="H1041" s="10"/>
    </row>
    <row r="1042" spans="1:16" s="5" customFormat="1" x14ac:dyDescent="0.25">
      <c r="A1042" s="5" t="s">
        <v>1874</v>
      </c>
      <c r="B1042" s="5" t="s">
        <v>3947</v>
      </c>
      <c r="C1042" s="5" t="s">
        <v>3948</v>
      </c>
      <c r="D1042" s="5" t="s">
        <v>1877</v>
      </c>
      <c r="E1042" s="5" t="s">
        <v>24</v>
      </c>
      <c r="F1042" s="5" t="s">
        <v>24</v>
      </c>
      <c r="G1042" s="25"/>
      <c r="H1042" s="10"/>
    </row>
    <row r="1043" spans="1:16" s="5" customFormat="1" x14ac:dyDescent="0.25">
      <c r="A1043" s="5" t="s">
        <v>1874</v>
      </c>
      <c r="B1043" s="5" t="s">
        <v>3949</v>
      </c>
      <c r="C1043" s="5" t="s">
        <v>3950</v>
      </c>
      <c r="D1043" s="5" t="s">
        <v>1877</v>
      </c>
      <c r="E1043" s="5" t="s">
        <v>195</v>
      </c>
      <c r="F1043" s="5" t="s">
        <v>24</v>
      </c>
      <c r="G1043" s="25"/>
      <c r="H1043" s="10"/>
    </row>
    <row r="1044" spans="1:16" s="5" customFormat="1" x14ac:dyDescent="0.25">
      <c r="A1044" s="5" t="s">
        <v>1874</v>
      </c>
      <c r="B1044" s="5" t="s">
        <v>3951</v>
      </c>
      <c r="C1044" s="5" t="s">
        <v>3952</v>
      </c>
      <c r="D1044" s="5" t="s">
        <v>1877</v>
      </c>
      <c r="E1044" s="5" t="s">
        <v>24</v>
      </c>
      <c r="F1044" s="5" t="s">
        <v>24</v>
      </c>
      <c r="G1044" s="25"/>
      <c r="H1044" s="10"/>
    </row>
    <row r="1045" spans="1:16" s="5" customFormat="1" x14ac:dyDescent="0.25">
      <c r="A1045" s="5" t="s">
        <v>1874</v>
      </c>
      <c r="B1045" s="5" t="s">
        <v>3953</v>
      </c>
      <c r="C1045" s="5" t="s">
        <v>3954</v>
      </c>
      <c r="D1045" s="5" t="s">
        <v>1877</v>
      </c>
      <c r="E1045" s="5" t="s">
        <v>195</v>
      </c>
      <c r="F1045" s="5" t="s">
        <v>24</v>
      </c>
      <c r="G1045" s="25"/>
      <c r="H1045" s="10"/>
    </row>
    <row r="1046" spans="1:16" s="5" customFormat="1" x14ac:dyDescent="0.25">
      <c r="A1046" s="5" t="s">
        <v>1874</v>
      </c>
      <c r="B1046" s="5" t="s">
        <v>3955</v>
      </c>
      <c r="C1046" s="5" t="s">
        <v>3956</v>
      </c>
      <c r="D1046" s="5" t="s">
        <v>1877</v>
      </c>
      <c r="E1046" s="5" t="s">
        <v>195</v>
      </c>
      <c r="F1046" s="5" t="s">
        <v>24</v>
      </c>
      <c r="G1046" s="25"/>
      <c r="H1046" s="10"/>
    </row>
    <row r="1047" spans="1:16" s="5" customFormat="1" x14ac:dyDescent="0.25">
      <c r="A1047" s="5" t="s">
        <v>1874</v>
      </c>
      <c r="B1047" s="5" t="s">
        <v>3957</v>
      </c>
      <c r="C1047" s="5" t="s">
        <v>3958</v>
      </c>
      <c r="D1047" s="5" t="s">
        <v>1877</v>
      </c>
      <c r="E1047" s="5" t="s">
        <v>24</v>
      </c>
      <c r="F1047" s="5" t="s">
        <v>24</v>
      </c>
      <c r="G1047" s="25"/>
      <c r="H1047" s="10"/>
    </row>
    <row r="1048" spans="1:16" s="5" customFormat="1" x14ac:dyDescent="0.25">
      <c r="A1048" s="5" t="s">
        <v>1874</v>
      </c>
      <c r="B1048" s="5" t="s">
        <v>3959</v>
      </c>
      <c r="C1048" s="5" t="s">
        <v>3960</v>
      </c>
      <c r="D1048" s="5" t="s">
        <v>1877</v>
      </c>
      <c r="E1048" s="5" t="s">
        <v>24</v>
      </c>
      <c r="F1048" s="5" t="s">
        <v>24</v>
      </c>
      <c r="G1048" s="25"/>
      <c r="H1048" s="10"/>
    </row>
    <row r="1049" spans="1:16" s="5" customFormat="1" x14ac:dyDescent="0.25">
      <c r="A1049" s="5" t="s">
        <v>1874</v>
      </c>
      <c r="B1049" s="5" t="s">
        <v>3961</v>
      </c>
      <c r="C1049" s="5" t="s">
        <v>3962</v>
      </c>
      <c r="D1049" s="5" t="s">
        <v>1877</v>
      </c>
      <c r="E1049" s="5" t="s">
        <v>24</v>
      </c>
      <c r="F1049" s="5" t="s">
        <v>24</v>
      </c>
      <c r="G1049" s="25"/>
      <c r="H1049" s="10"/>
    </row>
    <row r="1050" spans="1:16" s="5" customFormat="1" x14ac:dyDescent="0.25">
      <c r="A1050" s="5" t="s">
        <v>1874</v>
      </c>
      <c r="B1050" s="5" t="s">
        <v>3963</v>
      </c>
      <c r="C1050" s="5" t="s">
        <v>3964</v>
      </c>
      <c r="D1050" s="5" t="s">
        <v>1894</v>
      </c>
      <c r="E1050" s="5" t="s">
        <v>195</v>
      </c>
      <c r="F1050" s="5" t="s">
        <v>24</v>
      </c>
      <c r="G1050" s="25"/>
      <c r="H1050" s="10"/>
    </row>
    <row r="1051" spans="1:16" s="5" customFormat="1" x14ac:dyDescent="0.25">
      <c r="A1051" s="5" t="s">
        <v>1874</v>
      </c>
      <c r="B1051" s="5" t="s">
        <v>3965</v>
      </c>
      <c r="C1051" s="5" t="s">
        <v>3966</v>
      </c>
      <c r="D1051" s="5" t="s">
        <v>1877</v>
      </c>
      <c r="E1051" s="5" t="s">
        <v>195</v>
      </c>
      <c r="F1051" s="5" t="s">
        <v>24</v>
      </c>
      <c r="G1051" s="25"/>
      <c r="H1051" s="10"/>
    </row>
    <row r="1052" spans="1:16" s="5" customFormat="1" x14ac:dyDescent="0.25">
      <c r="A1052" s="5" t="s">
        <v>1874</v>
      </c>
      <c r="B1052" s="5" t="s">
        <v>3967</v>
      </c>
      <c r="C1052" s="5" t="s">
        <v>3968</v>
      </c>
      <c r="D1052" s="5" t="s">
        <v>1877</v>
      </c>
      <c r="E1052" s="5" t="s">
        <v>195</v>
      </c>
      <c r="F1052" s="5" t="s">
        <v>24</v>
      </c>
      <c r="G1052" s="25"/>
      <c r="H1052" s="10"/>
    </row>
    <row r="1053" spans="1:16" s="5" customFormat="1" x14ac:dyDescent="0.25">
      <c r="A1053" s="5" t="s">
        <v>1874</v>
      </c>
      <c r="B1053" s="5" t="s">
        <v>3969</v>
      </c>
      <c r="C1053" s="5" t="s">
        <v>3970</v>
      </c>
      <c r="D1053" s="5" t="s">
        <v>1877</v>
      </c>
      <c r="E1053" s="5" t="s">
        <v>24</v>
      </c>
      <c r="F1053" s="5" t="s">
        <v>24</v>
      </c>
      <c r="G1053" s="25"/>
      <c r="H1053" s="10"/>
    </row>
    <row r="1054" spans="1:16" s="5" customFormat="1" x14ac:dyDescent="0.25">
      <c r="A1054" s="5" t="s">
        <v>1874</v>
      </c>
      <c r="B1054" s="5" t="s">
        <v>3971</v>
      </c>
      <c r="C1054" s="5" t="s">
        <v>3972</v>
      </c>
      <c r="D1054" s="5" t="s">
        <v>1877</v>
      </c>
      <c r="E1054" s="5" t="s">
        <v>195</v>
      </c>
      <c r="F1054" s="5" t="s">
        <v>24</v>
      </c>
      <c r="G1054" s="25"/>
      <c r="H1054" s="10"/>
    </row>
    <row r="1055" spans="1:16" s="5" customFormat="1" x14ac:dyDescent="0.25">
      <c r="A1055" s="5" t="s">
        <v>1878</v>
      </c>
      <c r="B1055" s="5" t="s">
        <v>3973</v>
      </c>
      <c r="C1055" s="5" t="s">
        <v>3974</v>
      </c>
      <c r="D1055" s="5" t="s">
        <v>1917</v>
      </c>
      <c r="E1055" s="5" t="s">
        <v>24</v>
      </c>
      <c r="F1055" s="5" t="s">
        <v>24</v>
      </c>
      <c r="G1055" s="25">
        <v>50</v>
      </c>
      <c r="H1055" s="10" t="str">
        <f>HYPERLINK("https://doc.morningstar.com/Document/617cffda240f48e0755faf1ca0eda7b2.msdoc?clientid=fnz&amp;key=9c0e4d166b60ffd3","TMD")</f>
        <v>TMD</v>
      </c>
      <c r="I1055" s="5" t="s">
        <v>25</v>
      </c>
      <c r="J1055" s="5" t="s">
        <v>26</v>
      </c>
      <c r="K1055" s="5" t="s">
        <v>216</v>
      </c>
      <c r="L1055" s="5" t="s">
        <v>27</v>
      </c>
      <c r="M1055" s="5" t="s">
        <v>26</v>
      </c>
      <c r="N1055" s="5" t="s">
        <v>26</v>
      </c>
      <c r="O1055" s="5" t="s">
        <v>27</v>
      </c>
      <c r="P1055" s="5" t="s">
        <v>27</v>
      </c>
    </row>
    <row r="1056" spans="1:16" s="5" customFormat="1" x14ac:dyDescent="0.25">
      <c r="A1056" s="5" t="s">
        <v>1914</v>
      </c>
      <c r="B1056" s="5" t="s">
        <v>3975</v>
      </c>
      <c r="C1056" s="5" t="s">
        <v>3976</v>
      </c>
      <c r="D1056" s="5" t="s">
        <v>1917</v>
      </c>
      <c r="E1056" s="5" t="s">
        <v>24</v>
      </c>
      <c r="F1056" s="5" t="s">
        <v>24</v>
      </c>
      <c r="G1056" s="25">
        <v>100</v>
      </c>
      <c r="H1056" s="10" t="str">
        <f>HYPERLINK("https://doc.morningstar.com/Document/234bf8365b2313cc7f2fd190d96f3e5a.msdoc?clientid=fnz&amp;key=9c0e4d166b60ffd3","TMD")</f>
        <v>TMD</v>
      </c>
      <c r="I1056" s="5" t="s">
        <v>25</v>
      </c>
      <c r="J1056" s="5" t="s">
        <v>26</v>
      </c>
      <c r="K1056" s="5" t="s">
        <v>216</v>
      </c>
      <c r="L1056" s="5" t="s">
        <v>27</v>
      </c>
      <c r="M1056" s="5" t="s">
        <v>26</v>
      </c>
      <c r="N1056" s="5" t="s">
        <v>26</v>
      </c>
      <c r="O1056" s="5" t="s">
        <v>27</v>
      </c>
      <c r="P1056" s="5" t="s">
        <v>27</v>
      </c>
    </row>
    <row r="1057" spans="1:16" s="5" customFormat="1" x14ac:dyDescent="0.25">
      <c r="A1057" s="5" t="s">
        <v>1914</v>
      </c>
      <c r="B1057" s="5" t="s">
        <v>3977</v>
      </c>
      <c r="C1057" s="5" t="s">
        <v>3978</v>
      </c>
      <c r="D1057" s="5" t="s">
        <v>1917</v>
      </c>
      <c r="E1057" s="5" t="s">
        <v>195</v>
      </c>
      <c r="F1057" s="5" t="s">
        <v>24</v>
      </c>
      <c r="G1057" s="25"/>
      <c r="H1057" s="10" t="str">
        <f>HYPERLINK("https://doc.morningstar.com/Document/1ad22fc46b7164c2689a68582304a2fc.msdoc?clientid=fnz&amp;key=9c0e4d166b60ffd3","TMD")</f>
        <v>TMD</v>
      </c>
      <c r="I1057" s="5" t="s">
        <v>25</v>
      </c>
      <c r="J1057" s="5" t="s">
        <v>26</v>
      </c>
      <c r="K1057" s="5" t="s">
        <v>216</v>
      </c>
      <c r="L1057" s="5" t="s">
        <v>27</v>
      </c>
      <c r="M1057" s="5" t="s">
        <v>26</v>
      </c>
      <c r="N1057" s="5" t="s">
        <v>26</v>
      </c>
      <c r="O1057" s="5" t="s">
        <v>27</v>
      </c>
      <c r="P1057" s="5" t="s">
        <v>27</v>
      </c>
    </row>
    <row r="1058" spans="1:16" s="5" customFormat="1" x14ac:dyDescent="0.25">
      <c r="A1058" s="5" t="s">
        <v>1914</v>
      </c>
      <c r="B1058" s="5" t="s">
        <v>3979</v>
      </c>
      <c r="C1058" s="5" t="s">
        <v>3980</v>
      </c>
      <c r="D1058" s="5" t="s">
        <v>1917</v>
      </c>
      <c r="E1058" s="5" t="s">
        <v>195</v>
      </c>
      <c r="F1058" s="5" t="s">
        <v>24</v>
      </c>
      <c r="G1058" s="25"/>
      <c r="H1058" s="10" t="str">
        <f>HYPERLINK("https://doc.morningstar.com/Document/11fba31118002b4997dccda0b9c58872.msdoc?clientid=fnz&amp;key=9c0e4d166b60ffd3","TMD")</f>
        <v>TMD</v>
      </c>
      <c r="I1058" s="5" t="s">
        <v>25</v>
      </c>
      <c r="J1058" s="5" t="s">
        <v>26</v>
      </c>
      <c r="K1058" s="5" t="s">
        <v>216</v>
      </c>
      <c r="L1058" s="5" t="s">
        <v>27</v>
      </c>
      <c r="M1058" s="5" t="s">
        <v>26</v>
      </c>
      <c r="N1058" s="5" t="s">
        <v>26</v>
      </c>
      <c r="O1058" s="5" t="s">
        <v>27</v>
      </c>
      <c r="P1058" s="5" t="s">
        <v>27</v>
      </c>
    </row>
    <row r="1059" spans="1:16" s="5" customFormat="1" x14ac:dyDescent="0.25">
      <c r="A1059" s="5" t="s">
        <v>1914</v>
      </c>
      <c r="B1059" s="5" t="s">
        <v>3981</v>
      </c>
      <c r="C1059" s="5" t="s">
        <v>3982</v>
      </c>
      <c r="D1059" s="5" t="s">
        <v>1917</v>
      </c>
      <c r="E1059" s="5" t="s">
        <v>24</v>
      </c>
      <c r="F1059" s="5" t="s">
        <v>24</v>
      </c>
      <c r="G1059" s="25">
        <v>100</v>
      </c>
      <c r="H1059" s="10" t="str">
        <f>HYPERLINK("https://doc.morningstar.com/Document/12ac5d66f9a006362ddbbbe0f85c0739.msdoc?clientid=fnz&amp;key=9c0e4d166b60ffd3","TMD")</f>
        <v>TMD</v>
      </c>
      <c r="I1059" s="5" t="s">
        <v>25</v>
      </c>
      <c r="J1059" s="5" t="s">
        <v>26</v>
      </c>
      <c r="K1059" s="5" t="s">
        <v>216</v>
      </c>
      <c r="L1059" s="5" t="s">
        <v>27</v>
      </c>
      <c r="M1059" s="5" t="s">
        <v>26</v>
      </c>
      <c r="N1059" s="5" t="s">
        <v>26</v>
      </c>
      <c r="O1059" s="5" t="s">
        <v>27</v>
      </c>
      <c r="P1059" s="5" t="s">
        <v>27</v>
      </c>
    </row>
    <row r="1060" spans="1:16" s="5" customFormat="1" x14ac:dyDescent="0.25">
      <c r="A1060" s="5" t="s">
        <v>1914</v>
      </c>
      <c r="B1060" s="5" t="s">
        <v>3983</v>
      </c>
      <c r="C1060" s="5" t="s">
        <v>3984</v>
      </c>
      <c r="D1060" s="5" t="s">
        <v>1917</v>
      </c>
      <c r="E1060" s="5" t="s">
        <v>24</v>
      </c>
      <c r="F1060" s="5" t="s">
        <v>24</v>
      </c>
      <c r="G1060" s="25">
        <v>100</v>
      </c>
      <c r="H1060" s="10" t="str">
        <f>HYPERLINK("https://doc.morningstar.com/Document/510af6ffaa767a6978cff0d3f3490a04.msdoc?clientid=fnz&amp;key=9c0e4d166b60ffd3","TMD")</f>
        <v>TMD</v>
      </c>
      <c r="I1060" s="5" t="s">
        <v>25</v>
      </c>
      <c r="J1060" s="5" t="s">
        <v>26</v>
      </c>
      <c r="K1060" s="5" t="s">
        <v>216</v>
      </c>
      <c r="L1060" s="5" t="s">
        <v>27</v>
      </c>
      <c r="M1060" s="5" t="s">
        <v>26</v>
      </c>
      <c r="N1060" s="5" t="s">
        <v>26</v>
      </c>
      <c r="O1060" s="5" t="s">
        <v>27</v>
      </c>
      <c r="P1060" s="5" t="s">
        <v>27</v>
      </c>
    </row>
    <row r="1061" spans="1:16" s="5" customFormat="1" x14ac:dyDescent="0.25">
      <c r="A1061" s="5" t="s">
        <v>1914</v>
      </c>
      <c r="B1061" s="5" t="s">
        <v>3985</v>
      </c>
      <c r="C1061" s="5" t="s">
        <v>3986</v>
      </c>
      <c r="D1061" s="5" t="s">
        <v>1917</v>
      </c>
      <c r="E1061" s="5" t="s">
        <v>24</v>
      </c>
      <c r="F1061" s="5" t="s">
        <v>24</v>
      </c>
      <c r="G1061" s="25">
        <v>100</v>
      </c>
      <c r="H1061" s="10" t="str">
        <f>HYPERLINK("https://doc.morningstar.com/Document/cf22c0b16c045f6f69a3d5241e30c2bf.msdoc?clientid=fnz&amp;key=9c0e4d166b60ffd3","TMD")</f>
        <v>TMD</v>
      </c>
      <c r="I1061" s="5" t="s">
        <v>25</v>
      </c>
      <c r="J1061" s="5" t="s">
        <v>26</v>
      </c>
      <c r="K1061" s="5" t="s">
        <v>216</v>
      </c>
      <c r="L1061" s="5" t="s">
        <v>27</v>
      </c>
      <c r="M1061" s="5" t="s">
        <v>26</v>
      </c>
      <c r="N1061" s="5" t="s">
        <v>26</v>
      </c>
      <c r="O1061" s="5" t="s">
        <v>27</v>
      </c>
      <c r="P1061" s="5" t="s">
        <v>27</v>
      </c>
    </row>
    <row r="1062" spans="1:16" s="5" customFormat="1" x14ac:dyDescent="0.25">
      <c r="A1062" s="5" t="s">
        <v>1914</v>
      </c>
      <c r="B1062" s="5" t="s">
        <v>3987</v>
      </c>
      <c r="C1062" s="5" t="s">
        <v>3988</v>
      </c>
      <c r="D1062" s="5" t="s">
        <v>1917</v>
      </c>
      <c r="E1062" s="5" t="s">
        <v>195</v>
      </c>
      <c r="F1062" s="5" t="s">
        <v>24</v>
      </c>
      <c r="G1062" s="25"/>
      <c r="H1062" s="10" t="str">
        <f>HYPERLINK("https://doc.morningstar.com/Document/22f07081005db72e4796c6c9b72d8fdf.msdoc?clientid=fnz&amp;key=9c0e4d166b60ffd3","TMD")</f>
        <v>TMD</v>
      </c>
      <c r="I1062" s="5" t="s">
        <v>25</v>
      </c>
      <c r="J1062" s="5" t="s">
        <v>26</v>
      </c>
      <c r="K1062" s="5" t="s">
        <v>216</v>
      </c>
      <c r="L1062" s="5" t="s">
        <v>27</v>
      </c>
      <c r="M1062" s="5" t="s">
        <v>26</v>
      </c>
      <c r="N1062" s="5" t="s">
        <v>26</v>
      </c>
      <c r="O1062" s="5" t="s">
        <v>27</v>
      </c>
      <c r="P1062" s="5" t="s">
        <v>27</v>
      </c>
    </row>
    <row r="1063" spans="1:16" s="5" customFormat="1" x14ac:dyDescent="0.25">
      <c r="A1063" s="5" t="s">
        <v>1914</v>
      </c>
      <c r="B1063" s="5" t="s">
        <v>3989</v>
      </c>
      <c r="C1063" s="5" t="s">
        <v>3990</v>
      </c>
      <c r="D1063" s="5" t="s">
        <v>1917</v>
      </c>
      <c r="E1063" s="5" t="s">
        <v>24</v>
      </c>
      <c r="F1063" s="5" t="s">
        <v>24</v>
      </c>
      <c r="G1063" s="25">
        <v>100</v>
      </c>
      <c r="H1063" s="10" t="str">
        <f>HYPERLINK("https://doc.morningstar.com/Document/1ad22fc46b7164c242b5df720ba0f72a.msdoc?clientid=fnz&amp;key=9c0e4d166b60ffd3","TMD")</f>
        <v>TMD</v>
      </c>
      <c r="I1063" s="5" t="s">
        <v>25</v>
      </c>
      <c r="J1063" s="5" t="s">
        <v>26</v>
      </c>
      <c r="K1063" s="5" t="s">
        <v>216</v>
      </c>
      <c r="L1063" s="5" t="s">
        <v>27</v>
      </c>
      <c r="M1063" s="5" t="s">
        <v>26</v>
      </c>
      <c r="N1063" s="5" t="s">
        <v>26</v>
      </c>
      <c r="O1063" s="5" t="s">
        <v>27</v>
      </c>
      <c r="P1063" s="5" t="s">
        <v>27</v>
      </c>
    </row>
    <row r="1064" spans="1:16" s="5" customFormat="1" x14ac:dyDescent="0.25">
      <c r="A1064" s="5" t="s">
        <v>1914</v>
      </c>
      <c r="B1064" s="5" t="s">
        <v>3991</v>
      </c>
      <c r="C1064" s="5" t="s">
        <v>3992</v>
      </c>
      <c r="D1064" s="5" t="s">
        <v>1917</v>
      </c>
      <c r="E1064" s="5" t="s">
        <v>24</v>
      </c>
      <c r="F1064" s="5" t="s">
        <v>24</v>
      </c>
      <c r="G1064" s="25">
        <v>30</v>
      </c>
      <c r="H1064" s="10" t="str">
        <f>HYPERLINK("https://doc.morningstar.com/Document/6a46d1a3777af0f40b86b89db5a5df88.msdoc?clientid=fnz&amp;key=9c0e4d166b60ffd3","TMD")</f>
        <v>TMD</v>
      </c>
      <c r="I1064" s="5" t="s">
        <v>25</v>
      </c>
      <c r="J1064" s="5" t="s">
        <v>26</v>
      </c>
      <c r="K1064" s="5" t="s">
        <v>216</v>
      </c>
      <c r="L1064" s="5" t="s">
        <v>27</v>
      </c>
      <c r="M1064" s="5" t="s">
        <v>26</v>
      </c>
      <c r="N1064" s="5" t="s">
        <v>26</v>
      </c>
      <c r="O1064" s="5" t="s">
        <v>27</v>
      </c>
      <c r="P1064" s="5" t="s">
        <v>27</v>
      </c>
    </row>
    <row r="1065" spans="1:16" s="5" customFormat="1" x14ac:dyDescent="0.25">
      <c r="A1065" s="5" t="s">
        <v>1878</v>
      </c>
      <c r="B1065" s="5" t="s">
        <v>3993</v>
      </c>
      <c r="C1065" s="5" t="s">
        <v>3994</v>
      </c>
      <c r="D1065" s="5" t="s">
        <v>1917</v>
      </c>
      <c r="E1065" s="5" t="s">
        <v>24</v>
      </c>
      <c r="F1065" s="5" t="s">
        <v>24</v>
      </c>
      <c r="G1065" s="25">
        <v>50</v>
      </c>
      <c r="H1065" s="10" t="str">
        <f>HYPERLINK("https://doc.morningstar.com/Document/6a46d1a3777af0f4df0ee7bb767977d3.msdoc?clientid=fnz&amp;key=9c0e4d166b60ffd3","TMD")</f>
        <v>TMD</v>
      </c>
      <c r="I1065" s="5" t="s">
        <v>25</v>
      </c>
      <c r="J1065" s="5" t="s">
        <v>26</v>
      </c>
      <c r="K1065" s="5" t="s">
        <v>216</v>
      </c>
      <c r="L1065" s="5" t="s">
        <v>27</v>
      </c>
      <c r="M1065" s="5" t="s">
        <v>26</v>
      </c>
      <c r="N1065" s="5" t="s">
        <v>26</v>
      </c>
      <c r="O1065" s="5" t="s">
        <v>27</v>
      </c>
      <c r="P1065" s="5" t="s">
        <v>27</v>
      </c>
    </row>
    <row r="1066" spans="1:16" s="5" customFormat="1" x14ac:dyDescent="0.25">
      <c r="A1066" s="5" t="s">
        <v>1914</v>
      </c>
      <c r="B1066" s="5" t="s">
        <v>3995</v>
      </c>
      <c r="C1066" s="5" t="s">
        <v>3996</v>
      </c>
      <c r="D1066" s="5" t="s">
        <v>1917</v>
      </c>
      <c r="E1066" s="5" t="s">
        <v>24</v>
      </c>
      <c r="F1066" s="5" t="s">
        <v>24</v>
      </c>
      <c r="G1066" s="25">
        <v>30</v>
      </c>
      <c r="H1066" s="10" t="str">
        <f>HYPERLINK("https://doc.morningstar.com/Document/12361188d25da39583cb6f191db4f1be.msdoc?clientid=fnz&amp;key=9c0e4d166b60ffd3","TMD")</f>
        <v>TMD</v>
      </c>
      <c r="I1066" s="5" t="s">
        <v>25</v>
      </c>
      <c r="J1066" s="5" t="s">
        <v>26</v>
      </c>
      <c r="K1066" s="5" t="s">
        <v>216</v>
      </c>
      <c r="L1066" s="5" t="s">
        <v>27</v>
      </c>
      <c r="M1066" s="5" t="s">
        <v>26</v>
      </c>
      <c r="N1066" s="5" t="s">
        <v>26</v>
      </c>
      <c r="O1066" s="5" t="s">
        <v>27</v>
      </c>
      <c r="P1066" s="5" t="s">
        <v>27</v>
      </c>
    </row>
    <row r="1067" spans="1:16" s="5" customFormat="1" x14ac:dyDescent="0.25">
      <c r="A1067" s="5" t="s">
        <v>1914</v>
      </c>
      <c r="B1067" s="5" t="s">
        <v>3997</v>
      </c>
      <c r="C1067" s="5" t="s">
        <v>3998</v>
      </c>
      <c r="D1067" s="5" t="s">
        <v>1917</v>
      </c>
      <c r="E1067" s="5" t="s">
        <v>24</v>
      </c>
      <c r="F1067" s="5" t="s">
        <v>24</v>
      </c>
      <c r="G1067" s="25">
        <v>100</v>
      </c>
      <c r="H1067" s="10" t="str">
        <f>HYPERLINK("https://doc.morningstar.com/Document/617cffda240f48e0ef2fcac3e0ff2061.msdoc?clientid=fnz&amp;key=9c0e4d166b60ffd3","TMD")</f>
        <v>TMD</v>
      </c>
      <c r="I1067" s="5" t="s">
        <v>25</v>
      </c>
      <c r="J1067" s="5" t="s">
        <v>26</v>
      </c>
      <c r="K1067" s="5" t="s">
        <v>216</v>
      </c>
      <c r="L1067" s="5" t="s">
        <v>27</v>
      </c>
      <c r="M1067" s="5" t="s">
        <v>26</v>
      </c>
      <c r="N1067" s="5" t="s">
        <v>26</v>
      </c>
      <c r="O1067" s="5" t="s">
        <v>27</v>
      </c>
      <c r="P1067" s="5" t="s">
        <v>27</v>
      </c>
    </row>
    <row r="1068" spans="1:16" s="5" customFormat="1" x14ac:dyDescent="0.25">
      <c r="A1068" s="5" t="s">
        <v>1914</v>
      </c>
      <c r="B1068" s="5" t="s">
        <v>3999</v>
      </c>
      <c r="C1068" s="5" t="s">
        <v>4000</v>
      </c>
      <c r="D1068" s="5" t="s">
        <v>1917</v>
      </c>
      <c r="E1068" s="5" t="s">
        <v>24</v>
      </c>
      <c r="F1068" s="5" t="s">
        <v>24</v>
      </c>
      <c r="G1068" s="25"/>
      <c r="H1068" s="10" t="str">
        <f>HYPERLINK("https://doc.morningstar.com/Document/febe159ba5b71542812c116875139ec6.msdoc?clientid=fnz&amp;key=9c0e4d166b60ffd3","TMD")</f>
        <v>TMD</v>
      </c>
      <c r="I1068" s="5" t="s">
        <v>25</v>
      </c>
      <c r="J1068" s="5" t="s">
        <v>216</v>
      </c>
      <c r="K1068" s="5" t="s">
        <v>27</v>
      </c>
      <c r="L1068" s="5" t="s">
        <v>27</v>
      </c>
      <c r="M1068" s="5" t="s">
        <v>26</v>
      </c>
      <c r="N1068" s="5" t="s">
        <v>27</v>
      </c>
      <c r="O1068" s="5" t="s">
        <v>27</v>
      </c>
      <c r="P1068" s="5" t="s">
        <v>27</v>
      </c>
    </row>
    <row r="1069" spans="1:16" s="5" customFormat="1" x14ac:dyDescent="0.25">
      <c r="A1069" s="5" t="s">
        <v>1914</v>
      </c>
      <c r="B1069" s="5" t="s">
        <v>4001</v>
      </c>
      <c r="C1069" s="5" t="s">
        <v>4002</v>
      </c>
      <c r="D1069" s="5" t="s">
        <v>1917</v>
      </c>
      <c r="E1069" s="5" t="s">
        <v>24</v>
      </c>
      <c r="F1069" s="5" t="s">
        <v>24</v>
      </c>
      <c r="G1069" s="25">
        <v>100</v>
      </c>
      <c r="H1069" s="10" t="str">
        <f>HYPERLINK("https://doc.morningstar.com/Document/dfc6842138816e50159fda18592544fb.msdoc?clientid=fnz&amp;key=9c0e4d166b60ffd3","TMD")</f>
        <v>TMD</v>
      </c>
      <c r="I1069" s="5" t="s">
        <v>25</v>
      </c>
      <c r="J1069" s="5" t="s">
        <v>216</v>
      </c>
      <c r="K1069" s="5" t="s">
        <v>27</v>
      </c>
      <c r="L1069" s="5" t="s">
        <v>27</v>
      </c>
      <c r="M1069" s="5" t="s">
        <v>26</v>
      </c>
      <c r="N1069" s="5" t="s">
        <v>27</v>
      </c>
      <c r="O1069" s="5" t="s">
        <v>27</v>
      </c>
      <c r="P1069" s="5" t="s">
        <v>27</v>
      </c>
    </row>
    <row r="1070" spans="1:16" s="5" customFormat="1" x14ac:dyDescent="0.25">
      <c r="A1070" s="5" t="s">
        <v>1914</v>
      </c>
      <c r="B1070" s="5" t="s">
        <v>4003</v>
      </c>
      <c r="C1070" s="5" t="s">
        <v>4004</v>
      </c>
      <c r="D1070" s="5" t="s">
        <v>1917</v>
      </c>
      <c r="E1070" s="5" t="s">
        <v>195</v>
      </c>
      <c r="F1070" s="5" t="s">
        <v>24</v>
      </c>
      <c r="G1070" s="25"/>
      <c r="H1070" s="10" t="str">
        <f>HYPERLINK("https://doc.morningstar.com/Document/1f0691de8ef7b77889549b40670bab0f.msdoc?clientid=fnz&amp;key=9c0e4d166b60ffd3","TMD")</f>
        <v>TMD</v>
      </c>
      <c r="I1070" s="5" t="s">
        <v>25</v>
      </c>
      <c r="J1070" s="5" t="s">
        <v>26</v>
      </c>
      <c r="K1070" s="5" t="s">
        <v>216</v>
      </c>
      <c r="L1070" s="5" t="s">
        <v>27</v>
      </c>
      <c r="M1070" s="5" t="s">
        <v>26</v>
      </c>
      <c r="N1070" s="5" t="s">
        <v>26</v>
      </c>
      <c r="O1070" s="5" t="s">
        <v>27</v>
      </c>
      <c r="P1070" s="5" t="s">
        <v>27</v>
      </c>
    </row>
    <row r="1071" spans="1:16" s="5" customFormat="1" x14ac:dyDescent="0.25">
      <c r="A1071" s="5" t="s">
        <v>1874</v>
      </c>
      <c r="B1071" s="5" t="s">
        <v>4005</v>
      </c>
      <c r="C1071" s="5" t="s">
        <v>4006</v>
      </c>
      <c r="D1071" s="5" t="s">
        <v>1877</v>
      </c>
      <c r="E1071" s="5" t="s">
        <v>195</v>
      </c>
      <c r="F1071" s="5" t="s">
        <v>24</v>
      </c>
      <c r="G1071" s="25"/>
      <c r="H1071" s="10"/>
    </row>
    <row r="1072" spans="1:16" s="5" customFormat="1" x14ac:dyDescent="0.25">
      <c r="A1072" s="5" t="s">
        <v>1874</v>
      </c>
      <c r="B1072" s="5" t="s">
        <v>4007</v>
      </c>
      <c r="C1072" s="5" t="s">
        <v>4008</v>
      </c>
      <c r="D1072" s="5" t="s">
        <v>1877</v>
      </c>
      <c r="E1072" s="5" t="s">
        <v>24</v>
      </c>
      <c r="F1072" s="5" t="s">
        <v>24</v>
      </c>
      <c r="G1072" s="25">
        <v>50</v>
      </c>
      <c r="H1072" s="10"/>
    </row>
    <row r="1073" spans="1:8" s="5" customFormat="1" x14ac:dyDescent="0.25">
      <c r="A1073" s="5" t="s">
        <v>1874</v>
      </c>
      <c r="B1073" s="5" t="s">
        <v>4009</v>
      </c>
      <c r="C1073" s="5" t="s">
        <v>4010</v>
      </c>
      <c r="D1073" s="5" t="s">
        <v>1877</v>
      </c>
      <c r="E1073" s="5" t="s">
        <v>195</v>
      </c>
      <c r="F1073" s="5" t="s">
        <v>24</v>
      </c>
      <c r="G1073" s="25"/>
      <c r="H1073" s="10"/>
    </row>
    <row r="1074" spans="1:8" s="5" customFormat="1" x14ac:dyDescent="0.25">
      <c r="A1074" s="5" t="s">
        <v>1874</v>
      </c>
      <c r="B1074" s="5" t="s">
        <v>4011</v>
      </c>
      <c r="C1074" s="5" t="s">
        <v>4012</v>
      </c>
      <c r="D1074" s="5" t="s">
        <v>1877</v>
      </c>
      <c r="E1074" s="5" t="s">
        <v>24</v>
      </c>
      <c r="F1074" s="5" t="s">
        <v>24</v>
      </c>
      <c r="G1074" s="25"/>
      <c r="H1074" s="10"/>
    </row>
    <row r="1075" spans="1:8" s="5" customFormat="1" x14ac:dyDescent="0.25">
      <c r="A1075" s="5" t="s">
        <v>1874</v>
      </c>
      <c r="B1075" s="5" t="s">
        <v>4013</v>
      </c>
      <c r="C1075" s="5" t="s">
        <v>4014</v>
      </c>
      <c r="D1075" s="5" t="s">
        <v>1894</v>
      </c>
      <c r="E1075" s="5" t="s">
        <v>195</v>
      </c>
      <c r="F1075" s="5" t="s">
        <v>24</v>
      </c>
      <c r="G1075" s="25"/>
      <c r="H1075" s="10"/>
    </row>
    <row r="1076" spans="1:8" s="5" customFormat="1" x14ac:dyDescent="0.25">
      <c r="A1076" s="5" t="s">
        <v>1874</v>
      </c>
      <c r="B1076" s="5" t="s">
        <v>4015</v>
      </c>
      <c r="C1076" s="5" t="s">
        <v>4016</v>
      </c>
      <c r="D1076" s="5" t="s">
        <v>1877</v>
      </c>
      <c r="E1076" s="5" t="s">
        <v>195</v>
      </c>
      <c r="F1076" s="5" t="s">
        <v>24</v>
      </c>
      <c r="G1076" s="25"/>
      <c r="H1076" s="10"/>
    </row>
    <row r="1077" spans="1:8" s="5" customFormat="1" x14ac:dyDescent="0.25">
      <c r="A1077" s="5" t="s">
        <v>1874</v>
      </c>
      <c r="B1077" s="5" t="s">
        <v>4017</v>
      </c>
      <c r="C1077" s="5" t="s">
        <v>4018</v>
      </c>
      <c r="D1077" s="5" t="s">
        <v>1877</v>
      </c>
      <c r="E1077" s="5" t="s">
        <v>195</v>
      </c>
      <c r="F1077" s="5" t="s">
        <v>24</v>
      </c>
      <c r="G1077" s="25"/>
      <c r="H1077" s="10"/>
    </row>
    <row r="1078" spans="1:8" s="5" customFormat="1" ht="15" customHeight="1" x14ac:dyDescent="0.25">
      <c r="A1078" s="5" t="s">
        <v>1874</v>
      </c>
      <c r="B1078" s="5" t="s">
        <v>4019</v>
      </c>
      <c r="C1078" s="5" t="s">
        <v>4020</v>
      </c>
      <c r="D1078" s="5" t="s">
        <v>1877</v>
      </c>
      <c r="E1078" s="5" t="s">
        <v>24</v>
      </c>
      <c r="F1078" s="5" t="s">
        <v>24</v>
      </c>
      <c r="G1078" s="25"/>
      <c r="H1078" s="10"/>
    </row>
    <row r="1079" spans="1:8" s="5" customFormat="1" x14ac:dyDescent="0.25">
      <c r="A1079" s="5" t="s">
        <v>1874</v>
      </c>
      <c r="B1079" s="5" t="s">
        <v>4021</v>
      </c>
      <c r="C1079" s="5" t="s">
        <v>4022</v>
      </c>
      <c r="D1079" s="5" t="s">
        <v>1877</v>
      </c>
      <c r="E1079" s="5" t="s">
        <v>195</v>
      </c>
      <c r="F1079" s="5" t="s">
        <v>24</v>
      </c>
      <c r="G1079" s="25"/>
      <c r="H1079" s="10"/>
    </row>
    <row r="1080" spans="1:8" s="5" customFormat="1" x14ac:dyDescent="0.25">
      <c r="A1080" s="5" t="s">
        <v>1874</v>
      </c>
      <c r="B1080" s="5" t="s">
        <v>4023</v>
      </c>
      <c r="C1080" s="5" t="s">
        <v>4024</v>
      </c>
      <c r="D1080" s="5" t="s">
        <v>1877</v>
      </c>
      <c r="E1080" s="5" t="s">
        <v>195</v>
      </c>
      <c r="F1080" s="5" t="s">
        <v>24</v>
      </c>
      <c r="G1080" s="25">
        <v>20</v>
      </c>
      <c r="H1080" s="10"/>
    </row>
    <row r="1081" spans="1:8" s="5" customFormat="1" x14ac:dyDescent="0.25">
      <c r="A1081" s="5" t="s">
        <v>1874</v>
      </c>
      <c r="B1081" s="5" t="s">
        <v>4025</v>
      </c>
      <c r="C1081" s="5" t="s">
        <v>4026</v>
      </c>
      <c r="D1081" s="5" t="s">
        <v>1877</v>
      </c>
      <c r="E1081" s="5" t="s">
        <v>195</v>
      </c>
      <c r="F1081" s="5" t="s">
        <v>24</v>
      </c>
      <c r="G1081" s="25"/>
      <c r="H1081" s="10"/>
    </row>
    <row r="1082" spans="1:8" s="5" customFormat="1" x14ac:dyDescent="0.25">
      <c r="A1082" s="5" t="s">
        <v>1874</v>
      </c>
      <c r="B1082" s="5" t="s">
        <v>4027</v>
      </c>
      <c r="C1082" s="5" t="s">
        <v>4028</v>
      </c>
      <c r="D1082" s="5" t="s">
        <v>1877</v>
      </c>
      <c r="E1082" s="5" t="s">
        <v>24</v>
      </c>
      <c r="F1082" s="5" t="s">
        <v>24</v>
      </c>
      <c r="G1082" s="25"/>
      <c r="H1082" s="10"/>
    </row>
    <row r="1083" spans="1:8" s="5" customFormat="1" x14ac:dyDescent="0.25">
      <c r="A1083" s="5" t="s">
        <v>1874</v>
      </c>
      <c r="B1083" s="5" t="s">
        <v>4029</v>
      </c>
      <c r="C1083" s="5" t="s">
        <v>4030</v>
      </c>
      <c r="D1083" s="5" t="s">
        <v>1877</v>
      </c>
      <c r="E1083" s="5" t="s">
        <v>195</v>
      </c>
      <c r="F1083" s="5" t="s">
        <v>24</v>
      </c>
      <c r="G1083" s="25"/>
      <c r="H1083" s="10"/>
    </row>
    <row r="1084" spans="1:8" s="5" customFormat="1" x14ac:dyDescent="0.25">
      <c r="A1084" s="5" t="s">
        <v>1874</v>
      </c>
      <c r="B1084" s="5" t="s">
        <v>4031</v>
      </c>
      <c r="C1084" s="5" t="s">
        <v>4032</v>
      </c>
      <c r="D1084" s="5" t="s">
        <v>1877</v>
      </c>
      <c r="E1084" s="5" t="s">
        <v>195</v>
      </c>
      <c r="F1084" s="5" t="s">
        <v>24</v>
      </c>
      <c r="G1084" s="25"/>
      <c r="H1084" s="10"/>
    </row>
    <row r="1085" spans="1:8" s="5" customFormat="1" ht="30" x14ac:dyDescent="0.25">
      <c r="A1085" s="5" t="s">
        <v>1878</v>
      </c>
      <c r="B1085" s="5" t="s">
        <v>4033</v>
      </c>
      <c r="C1085" s="5" t="s">
        <v>4034</v>
      </c>
      <c r="D1085" s="5" t="s">
        <v>1881</v>
      </c>
      <c r="E1085" s="5" t="s">
        <v>24</v>
      </c>
      <c r="F1085" s="5" t="s">
        <v>24</v>
      </c>
      <c r="G1085" s="25"/>
      <c r="H1085" s="10"/>
    </row>
    <row r="1086" spans="1:8" s="5" customFormat="1" x14ac:dyDescent="0.25">
      <c r="A1086" s="5" t="s">
        <v>1874</v>
      </c>
      <c r="B1086" s="5" t="s">
        <v>4035</v>
      </c>
      <c r="C1086" s="5" t="s">
        <v>4036</v>
      </c>
      <c r="D1086" s="5" t="s">
        <v>1877</v>
      </c>
      <c r="E1086" s="5" t="s">
        <v>195</v>
      </c>
      <c r="F1086" s="5" t="s">
        <v>24</v>
      </c>
      <c r="G1086" s="25"/>
      <c r="H1086" s="10"/>
    </row>
    <row r="1087" spans="1:8" s="5" customFormat="1" x14ac:dyDescent="0.25">
      <c r="A1087" s="5" t="s">
        <v>1874</v>
      </c>
      <c r="B1087" s="5" t="s">
        <v>4037</v>
      </c>
      <c r="C1087" s="5" t="s">
        <v>4038</v>
      </c>
      <c r="D1087" s="5" t="s">
        <v>1877</v>
      </c>
      <c r="E1087" s="5" t="s">
        <v>24</v>
      </c>
      <c r="F1087" s="5" t="s">
        <v>24</v>
      </c>
      <c r="G1087" s="25"/>
      <c r="H1087" s="10"/>
    </row>
    <row r="1088" spans="1:8" s="5" customFormat="1" x14ac:dyDescent="0.25">
      <c r="A1088" s="5" t="s">
        <v>1874</v>
      </c>
      <c r="B1088" s="5" t="s">
        <v>4039</v>
      </c>
      <c r="C1088" s="5" t="s">
        <v>4040</v>
      </c>
      <c r="D1088" s="5" t="s">
        <v>2228</v>
      </c>
      <c r="E1088" s="5" t="s">
        <v>24</v>
      </c>
      <c r="F1088" s="5" t="s">
        <v>24</v>
      </c>
      <c r="G1088" s="25">
        <v>20</v>
      </c>
      <c r="H1088" s="10"/>
    </row>
    <row r="1089" spans="1:8" s="5" customFormat="1" x14ac:dyDescent="0.25">
      <c r="A1089" s="5" t="s">
        <v>1874</v>
      </c>
      <c r="B1089" s="5" t="s">
        <v>4041</v>
      </c>
      <c r="C1089" s="5" t="s">
        <v>4042</v>
      </c>
      <c r="D1089" s="5" t="s">
        <v>2228</v>
      </c>
      <c r="E1089" s="5" t="s">
        <v>24</v>
      </c>
      <c r="F1089" s="5" t="s">
        <v>24</v>
      </c>
      <c r="G1089" s="25"/>
      <c r="H1089" s="10"/>
    </row>
    <row r="1090" spans="1:8" s="5" customFormat="1" x14ac:dyDescent="0.25">
      <c r="A1090" s="5" t="s">
        <v>1874</v>
      </c>
      <c r="B1090" s="5" t="s">
        <v>4043</v>
      </c>
      <c r="C1090" s="5" t="s">
        <v>4044</v>
      </c>
      <c r="D1090" s="5" t="s">
        <v>1877</v>
      </c>
      <c r="E1090" s="5" t="s">
        <v>24</v>
      </c>
      <c r="F1090" s="5" t="s">
        <v>24</v>
      </c>
      <c r="G1090" s="25"/>
      <c r="H1090" s="10"/>
    </row>
    <row r="1091" spans="1:8" s="5" customFormat="1" x14ac:dyDescent="0.25">
      <c r="A1091" s="5" t="s">
        <v>1988</v>
      </c>
      <c r="B1091" s="5" t="s">
        <v>4045</v>
      </c>
      <c r="C1091" s="5" t="s">
        <v>4046</v>
      </c>
      <c r="D1091" s="5" t="s">
        <v>1991</v>
      </c>
      <c r="E1091" s="5" t="s">
        <v>24</v>
      </c>
      <c r="F1091" s="5" t="s">
        <v>24</v>
      </c>
      <c r="G1091" s="25">
        <v>20</v>
      </c>
      <c r="H1091" s="10"/>
    </row>
    <row r="1092" spans="1:8" s="5" customFormat="1" x14ac:dyDescent="0.25">
      <c r="A1092" s="5" t="s">
        <v>1874</v>
      </c>
      <c r="B1092" s="5" t="s">
        <v>4047</v>
      </c>
      <c r="C1092" s="5" t="s">
        <v>4048</v>
      </c>
      <c r="D1092" s="5" t="s">
        <v>1877</v>
      </c>
      <c r="E1092" s="5" t="s">
        <v>195</v>
      </c>
      <c r="F1092" s="5" t="s">
        <v>24</v>
      </c>
      <c r="G1092" s="25"/>
      <c r="H1092" s="10"/>
    </row>
    <row r="1093" spans="1:8" s="5" customFormat="1" x14ac:dyDescent="0.25">
      <c r="A1093" s="5" t="s">
        <v>1874</v>
      </c>
      <c r="B1093" s="5" t="s">
        <v>4049</v>
      </c>
      <c r="C1093" s="5" t="s">
        <v>4050</v>
      </c>
      <c r="D1093" s="5" t="s">
        <v>1877</v>
      </c>
      <c r="E1093" s="5" t="s">
        <v>195</v>
      </c>
      <c r="F1093" s="5" t="s">
        <v>24</v>
      </c>
      <c r="G1093" s="25"/>
      <c r="H1093" s="10"/>
    </row>
    <row r="1094" spans="1:8" s="5" customFormat="1" x14ac:dyDescent="0.25">
      <c r="A1094" s="5" t="s">
        <v>1874</v>
      </c>
      <c r="B1094" s="5" t="s">
        <v>4051</v>
      </c>
      <c r="C1094" s="5" t="s">
        <v>4052</v>
      </c>
      <c r="D1094" s="5" t="s">
        <v>1877</v>
      </c>
      <c r="E1094" s="5" t="s">
        <v>24</v>
      </c>
      <c r="F1094" s="5" t="s">
        <v>24</v>
      </c>
      <c r="G1094" s="25"/>
      <c r="H1094" s="10"/>
    </row>
    <row r="1095" spans="1:8" s="5" customFormat="1" x14ac:dyDescent="0.25">
      <c r="A1095" s="5" t="s">
        <v>1874</v>
      </c>
      <c r="B1095" s="5" t="s">
        <v>4053</v>
      </c>
      <c r="C1095" s="5" t="s">
        <v>4054</v>
      </c>
      <c r="D1095" s="5" t="s">
        <v>1877</v>
      </c>
      <c r="E1095" s="5" t="s">
        <v>195</v>
      </c>
      <c r="F1095" s="5" t="s">
        <v>24</v>
      </c>
      <c r="G1095" s="25"/>
      <c r="H1095" s="10"/>
    </row>
    <row r="1096" spans="1:8" s="5" customFormat="1" x14ac:dyDescent="0.25">
      <c r="A1096" s="5" t="s">
        <v>1874</v>
      </c>
      <c r="B1096" s="5" t="s">
        <v>4055</v>
      </c>
      <c r="C1096" s="5" t="s">
        <v>4056</v>
      </c>
      <c r="D1096" s="5" t="s">
        <v>1877</v>
      </c>
      <c r="E1096" s="5" t="s">
        <v>24</v>
      </c>
      <c r="F1096" s="5" t="s">
        <v>24</v>
      </c>
      <c r="G1096" s="25"/>
      <c r="H1096" s="10"/>
    </row>
    <row r="1097" spans="1:8" s="5" customFormat="1" x14ac:dyDescent="0.25">
      <c r="A1097" s="5" t="s">
        <v>1874</v>
      </c>
      <c r="B1097" s="5" t="s">
        <v>4057</v>
      </c>
      <c r="C1097" s="5" t="s">
        <v>4058</v>
      </c>
      <c r="D1097" s="5" t="s">
        <v>1877</v>
      </c>
      <c r="E1097" s="5" t="s">
        <v>24</v>
      </c>
      <c r="F1097" s="5" t="s">
        <v>24</v>
      </c>
      <c r="G1097" s="25"/>
      <c r="H1097" s="10"/>
    </row>
    <row r="1098" spans="1:8" s="5" customFormat="1" x14ac:dyDescent="0.25">
      <c r="A1098" s="5" t="s">
        <v>1874</v>
      </c>
      <c r="B1098" s="5" t="s">
        <v>4059</v>
      </c>
      <c r="C1098" s="5" t="s">
        <v>4060</v>
      </c>
      <c r="D1098" s="5" t="s">
        <v>1877</v>
      </c>
      <c r="E1098" s="5" t="s">
        <v>195</v>
      </c>
      <c r="F1098" s="5" t="s">
        <v>24</v>
      </c>
      <c r="G1098" s="25"/>
      <c r="H1098" s="10"/>
    </row>
    <row r="1099" spans="1:8" s="5" customFormat="1" x14ac:dyDescent="0.25">
      <c r="A1099" s="5" t="s">
        <v>1874</v>
      </c>
      <c r="B1099" s="5" t="s">
        <v>4061</v>
      </c>
      <c r="C1099" s="5" t="s">
        <v>4062</v>
      </c>
      <c r="D1099" s="5" t="s">
        <v>1877</v>
      </c>
      <c r="E1099" s="5" t="s">
        <v>195</v>
      </c>
      <c r="F1099" s="5" t="s">
        <v>24</v>
      </c>
      <c r="G1099" s="25"/>
      <c r="H1099" s="10"/>
    </row>
    <row r="1100" spans="1:8" s="5" customFormat="1" x14ac:dyDescent="0.25">
      <c r="A1100" s="5" t="s">
        <v>1874</v>
      </c>
      <c r="B1100" s="5" t="s">
        <v>4063</v>
      </c>
      <c r="C1100" s="5" t="s">
        <v>4064</v>
      </c>
      <c r="D1100" s="5" t="s">
        <v>1877</v>
      </c>
      <c r="E1100" s="5" t="s">
        <v>195</v>
      </c>
      <c r="F1100" s="5" t="s">
        <v>24</v>
      </c>
      <c r="G1100" s="25"/>
      <c r="H1100" s="10"/>
    </row>
    <row r="1101" spans="1:8" s="5" customFormat="1" x14ac:dyDescent="0.25">
      <c r="A1101" s="5" t="s">
        <v>1874</v>
      </c>
      <c r="B1101" s="5" t="s">
        <v>4065</v>
      </c>
      <c r="C1101" s="5" t="s">
        <v>4066</v>
      </c>
      <c r="D1101" s="5" t="s">
        <v>1877</v>
      </c>
      <c r="E1101" s="5" t="s">
        <v>195</v>
      </c>
      <c r="F1101" s="5" t="s">
        <v>24</v>
      </c>
      <c r="G1101" s="25"/>
      <c r="H1101" s="10"/>
    </row>
    <row r="1102" spans="1:8" s="5" customFormat="1" x14ac:dyDescent="0.25">
      <c r="A1102" s="5" t="s">
        <v>1874</v>
      </c>
      <c r="B1102" s="5" t="s">
        <v>4067</v>
      </c>
      <c r="C1102" s="5" t="s">
        <v>4068</v>
      </c>
      <c r="D1102" s="5" t="s">
        <v>1877</v>
      </c>
      <c r="E1102" s="5" t="s">
        <v>24</v>
      </c>
      <c r="F1102" s="5" t="s">
        <v>24</v>
      </c>
      <c r="G1102" s="25"/>
      <c r="H1102" s="10"/>
    </row>
    <row r="1103" spans="1:8" s="5" customFormat="1" x14ac:dyDescent="0.25">
      <c r="A1103" s="5" t="s">
        <v>1874</v>
      </c>
      <c r="B1103" s="5" t="s">
        <v>4069</v>
      </c>
      <c r="C1103" s="5" t="s">
        <v>4070</v>
      </c>
      <c r="D1103" s="5" t="s">
        <v>1877</v>
      </c>
      <c r="E1103" s="5" t="s">
        <v>195</v>
      </c>
      <c r="F1103" s="5" t="s">
        <v>24</v>
      </c>
      <c r="G1103" s="25"/>
      <c r="H1103" s="10"/>
    </row>
    <row r="1104" spans="1:8" s="5" customFormat="1" x14ac:dyDescent="0.25">
      <c r="A1104" s="5" t="s">
        <v>1874</v>
      </c>
      <c r="B1104" s="5" t="s">
        <v>4071</v>
      </c>
      <c r="C1104" s="5" t="s">
        <v>4072</v>
      </c>
      <c r="D1104" s="5" t="s">
        <v>1877</v>
      </c>
      <c r="E1104" s="5" t="s">
        <v>195</v>
      </c>
      <c r="F1104" s="5" t="s">
        <v>24</v>
      </c>
      <c r="G1104" s="25"/>
      <c r="H1104" s="10"/>
    </row>
    <row r="1105" spans="1:16" s="5" customFormat="1" x14ac:dyDescent="0.25">
      <c r="A1105" s="5" t="s">
        <v>1874</v>
      </c>
      <c r="B1105" s="5" t="s">
        <v>4073</v>
      </c>
      <c r="C1105" s="5" t="s">
        <v>4074</v>
      </c>
      <c r="D1105" s="5" t="s">
        <v>1894</v>
      </c>
      <c r="E1105" s="5" t="s">
        <v>195</v>
      </c>
      <c r="F1105" s="5" t="s">
        <v>24</v>
      </c>
      <c r="G1105" s="25"/>
      <c r="H1105" s="10"/>
    </row>
    <row r="1106" spans="1:16" s="5" customFormat="1" x14ac:dyDescent="0.25">
      <c r="A1106" s="5" t="s">
        <v>1874</v>
      </c>
      <c r="B1106" s="5" t="s">
        <v>4075</v>
      </c>
      <c r="C1106" s="5" t="s">
        <v>4076</v>
      </c>
      <c r="D1106" s="5" t="s">
        <v>1877</v>
      </c>
      <c r="E1106" s="5" t="s">
        <v>195</v>
      </c>
      <c r="F1106" s="5" t="s">
        <v>24</v>
      </c>
      <c r="G1106" s="25"/>
      <c r="H1106" s="10"/>
    </row>
    <row r="1107" spans="1:16" s="5" customFormat="1" x14ac:dyDescent="0.25">
      <c r="A1107" s="5" t="s">
        <v>1874</v>
      </c>
      <c r="B1107" s="5" t="s">
        <v>4077</v>
      </c>
      <c r="C1107" s="5" t="s">
        <v>4078</v>
      </c>
      <c r="D1107" s="5" t="s">
        <v>1877</v>
      </c>
      <c r="E1107" s="5" t="s">
        <v>24</v>
      </c>
      <c r="F1107" s="5" t="s">
        <v>24</v>
      </c>
      <c r="G1107" s="25"/>
      <c r="H1107" s="10"/>
    </row>
    <row r="1108" spans="1:16" s="5" customFormat="1" x14ac:dyDescent="0.25">
      <c r="A1108" s="5" t="s">
        <v>1874</v>
      </c>
      <c r="B1108" s="5" t="s">
        <v>4079</v>
      </c>
      <c r="C1108" s="5" t="s">
        <v>4080</v>
      </c>
      <c r="D1108" s="5" t="s">
        <v>1877</v>
      </c>
      <c r="E1108" s="5" t="s">
        <v>24</v>
      </c>
      <c r="F1108" s="5" t="s">
        <v>24</v>
      </c>
      <c r="G1108" s="25"/>
      <c r="H1108" s="10"/>
    </row>
    <row r="1109" spans="1:16" s="5" customFormat="1" x14ac:dyDescent="0.25">
      <c r="A1109" s="5" t="s">
        <v>1874</v>
      </c>
      <c r="B1109" s="5" t="s">
        <v>4081</v>
      </c>
      <c r="C1109" s="5" t="s">
        <v>4082</v>
      </c>
      <c r="D1109" s="5" t="s">
        <v>1877</v>
      </c>
      <c r="E1109" s="5" t="s">
        <v>24</v>
      </c>
      <c r="F1109" s="5" t="s">
        <v>24</v>
      </c>
      <c r="G1109" s="25"/>
      <c r="H1109" s="10"/>
    </row>
    <row r="1110" spans="1:16" s="5" customFormat="1" x14ac:dyDescent="0.25">
      <c r="A1110" s="5" t="s">
        <v>1874</v>
      </c>
      <c r="B1110" s="5" t="s">
        <v>4083</v>
      </c>
      <c r="C1110" s="5" t="s">
        <v>4084</v>
      </c>
      <c r="D1110" s="5" t="s">
        <v>1877</v>
      </c>
      <c r="E1110" s="5" t="s">
        <v>24</v>
      </c>
      <c r="F1110" s="5" t="s">
        <v>24</v>
      </c>
      <c r="G1110" s="25"/>
      <c r="H1110" s="10"/>
    </row>
    <row r="1111" spans="1:16" s="5" customFormat="1" x14ac:dyDescent="0.25">
      <c r="A1111" s="5" t="s">
        <v>1874</v>
      </c>
      <c r="B1111" s="5" t="s">
        <v>4085</v>
      </c>
      <c r="C1111" s="5" t="s">
        <v>4086</v>
      </c>
      <c r="D1111" s="5" t="s">
        <v>1877</v>
      </c>
      <c r="E1111" s="5" t="s">
        <v>195</v>
      </c>
      <c r="F1111" s="5" t="s">
        <v>24</v>
      </c>
      <c r="G1111" s="25"/>
      <c r="H1111" s="10"/>
    </row>
    <row r="1112" spans="1:16" s="5" customFormat="1" x14ac:dyDescent="0.25">
      <c r="A1112" s="5" t="s">
        <v>1874</v>
      </c>
      <c r="B1112" s="5" t="s">
        <v>4087</v>
      </c>
      <c r="C1112" s="5" t="s">
        <v>4088</v>
      </c>
      <c r="D1112" s="5" t="s">
        <v>1877</v>
      </c>
      <c r="E1112" s="5" t="s">
        <v>195</v>
      </c>
      <c r="F1112" s="5" t="s">
        <v>24</v>
      </c>
      <c r="G1112" s="25"/>
      <c r="H1112" s="10"/>
    </row>
    <row r="1113" spans="1:16" s="5" customFormat="1" x14ac:dyDescent="0.25">
      <c r="A1113" s="5" t="s">
        <v>1874</v>
      </c>
      <c r="B1113" s="5" t="s">
        <v>4089</v>
      </c>
      <c r="C1113" s="5" t="s">
        <v>4090</v>
      </c>
      <c r="D1113" s="5" t="s">
        <v>1877</v>
      </c>
      <c r="E1113" s="5" t="s">
        <v>195</v>
      </c>
      <c r="F1113" s="5" t="s">
        <v>24</v>
      </c>
      <c r="G1113" s="25"/>
      <c r="H1113" s="10"/>
    </row>
    <row r="1114" spans="1:16" s="5" customFormat="1" x14ac:dyDescent="0.25">
      <c r="A1114" s="5" t="s">
        <v>1874</v>
      </c>
      <c r="B1114" s="5" t="s">
        <v>4091</v>
      </c>
      <c r="C1114" s="5" t="s">
        <v>4092</v>
      </c>
      <c r="D1114" s="5" t="s">
        <v>1877</v>
      </c>
      <c r="E1114" s="5" t="s">
        <v>24</v>
      </c>
      <c r="F1114" s="5" t="s">
        <v>24</v>
      </c>
      <c r="G1114" s="25"/>
      <c r="H1114" s="10"/>
    </row>
    <row r="1115" spans="1:16" s="5" customFormat="1" x14ac:dyDescent="0.25">
      <c r="A1115" s="5" t="s">
        <v>1874</v>
      </c>
      <c r="B1115" s="5" t="s">
        <v>4093</v>
      </c>
      <c r="C1115" s="5" t="s">
        <v>4094</v>
      </c>
      <c r="D1115" s="5" t="s">
        <v>1877</v>
      </c>
      <c r="E1115" s="5" t="s">
        <v>24</v>
      </c>
      <c r="F1115" s="5" t="s">
        <v>24</v>
      </c>
      <c r="G1115" s="25"/>
      <c r="H1115" s="10"/>
    </row>
    <row r="1116" spans="1:16" s="5" customFormat="1" x14ac:dyDescent="0.25">
      <c r="A1116" s="5" t="s">
        <v>1874</v>
      </c>
      <c r="B1116" s="5" t="s">
        <v>4095</v>
      </c>
      <c r="C1116" s="5" t="s">
        <v>4096</v>
      </c>
      <c r="D1116" s="5" t="s">
        <v>1877</v>
      </c>
      <c r="E1116" s="5" t="s">
        <v>24</v>
      </c>
      <c r="F1116" s="5" t="s">
        <v>24</v>
      </c>
      <c r="G1116" s="25"/>
      <c r="H1116" s="10"/>
    </row>
    <row r="1117" spans="1:16" s="5" customFormat="1" x14ac:dyDescent="0.25">
      <c r="A1117" s="5" t="s">
        <v>1914</v>
      </c>
      <c r="B1117" s="5" t="s">
        <v>4097</v>
      </c>
      <c r="C1117" s="5" t="s">
        <v>4098</v>
      </c>
      <c r="D1117" s="5" t="s">
        <v>1917</v>
      </c>
      <c r="E1117" s="5" t="s">
        <v>195</v>
      </c>
      <c r="F1117" s="5" t="s">
        <v>24</v>
      </c>
      <c r="G1117" s="25"/>
      <c r="H1117" s="10" t="str">
        <f>HYPERLINK("https://doc.morningstar.com/Document/9866eeacbf783791ab33101ffc5a0cd4.msdoc?clientid=fnz&amp;key=9c0e4d166b60ffd3","TMD")</f>
        <v>TMD</v>
      </c>
      <c r="I1117" s="5" t="s">
        <v>25</v>
      </c>
      <c r="J1117" s="5" t="s">
        <v>26</v>
      </c>
      <c r="K1117" s="5" t="s">
        <v>216</v>
      </c>
      <c r="L1117" s="5" t="s">
        <v>27</v>
      </c>
      <c r="M1117" s="5" t="s">
        <v>26</v>
      </c>
      <c r="N1117" s="5" t="s">
        <v>26</v>
      </c>
      <c r="O1117" s="5" t="s">
        <v>27</v>
      </c>
      <c r="P1117" s="5" t="s">
        <v>27</v>
      </c>
    </row>
    <row r="1118" spans="1:16" s="5" customFormat="1" x14ac:dyDescent="0.25">
      <c r="A1118" s="5" t="s">
        <v>1874</v>
      </c>
      <c r="B1118" s="5" t="s">
        <v>4099</v>
      </c>
      <c r="C1118" s="5" t="s">
        <v>4100</v>
      </c>
      <c r="D1118" s="5" t="s">
        <v>1877</v>
      </c>
      <c r="E1118" s="5" t="s">
        <v>195</v>
      </c>
      <c r="F1118" s="5" t="s">
        <v>24</v>
      </c>
      <c r="G1118" s="25"/>
      <c r="H1118" s="10"/>
    </row>
    <row r="1119" spans="1:16" s="5" customFormat="1" x14ac:dyDescent="0.25">
      <c r="A1119" s="5" t="s">
        <v>1874</v>
      </c>
      <c r="B1119" s="5" t="s">
        <v>4101</v>
      </c>
      <c r="C1119" s="5" t="s">
        <v>4102</v>
      </c>
      <c r="D1119" s="5" t="s">
        <v>1877</v>
      </c>
      <c r="E1119" s="5" t="s">
        <v>195</v>
      </c>
      <c r="F1119" s="5" t="s">
        <v>24</v>
      </c>
      <c r="G1119" s="25"/>
      <c r="H1119" s="10"/>
    </row>
    <row r="1120" spans="1:16" s="5" customFormat="1" x14ac:dyDescent="0.25">
      <c r="A1120" s="5" t="s">
        <v>1874</v>
      </c>
      <c r="B1120" s="5" t="s">
        <v>4103</v>
      </c>
      <c r="C1120" s="5" t="s">
        <v>4104</v>
      </c>
      <c r="D1120" s="5" t="s">
        <v>1877</v>
      </c>
      <c r="E1120" s="5" t="s">
        <v>195</v>
      </c>
      <c r="F1120" s="5" t="s">
        <v>24</v>
      </c>
      <c r="G1120" s="25"/>
      <c r="H1120" s="10"/>
    </row>
    <row r="1121" spans="1:16" s="5" customFormat="1" x14ac:dyDescent="0.25">
      <c r="A1121" s="5" t="s">
        <v>1874</v>
      </c>
      <c r="B1121" s="5" t="s">
        <v>4105</v>
      </c>
      <c r="C1121" s="5" t="s">
        <v>4106</v>
      </c>
      <c r="D1121" s="5" t="s">
        <v>1877</v>
      </c>
      <c r="E1121" s="5" t="s">
        <v>195</v>
      </c>
      <c r="F1121" s="5" t="s">
        <v>24</v>
      </c>
      <c r="G1121" s="25"/>
      <c r="H1121" s="10"/>
    </row>
    <row r="1122" spans="1:16" s="5" customFormat="1" x14ac:dyDescent="0.25">
      <c r="A1122" s="5" t="s">
        <v>1874</v>
      </c>
      <c r="B1122" s="5" t="s">
        <v>4107</v>
      </c>
      <c r="C1122" s="5" t="s">
        <v>4108</v>
      </c>
      <c r="D1122" s="5" t="s">
        <v>1877</v>
      </c>
      <c r="E1122" s="5" t="s">
        <v>195</v>
      </c>
      <c r="F1122" s="5" t="s">
        <v>24</v>
      </c>
      <c r="G1122" s="25"/>
      <c r="H1122" s="10"/>
    </row>
    <row r="1123" spans="1:16" s="5" customFormat="1" x14ac:dyDescent="0.25">
      <c r="A1123" s="5" t="s">
        <v>1874</v>
      </c>
      <c r="B1123" s="5" t="s">
        <v>4109</v>
      </c>
      <c r="C1123" s="5" t="s">
        <v>4110</v>
      </c>
      <c r="D1123" s="5" t="s">
        <v>1877</v>
      </c>
      <c r="E1123" s="5" t="s">
        <v>195</v>
      </c>
      <c r="F1123" s="5" t="s">
        <v>24</v>
      </c>
      <c r="G1123" s="25"/>
      <c r="H1123" s="10"/>
    </row>
    <row r="1124" spans="1:16" s="5" customFormat="1" x14ac:dyDescent="0.25">
      <c r="A1124" s="5" t="s">
        <v>1874</v>
      </c>
      <c r="B1124" s="5" t="s">
        <v>4111</v>
      </c>
      <c r="C1124" s="5" t="s">
        <v>4112</v>
      </c>
      <c r="D1124" s="5" t="s">
        <v>1913</v>
      </c>
      <c r="E1124" s="5" t="s">
        <v>195</v>
      </c>
      <c r="F1124" s="5" t="s">
        <v>24</v>
      </c>
      <c r="G1124" s="25"/>
      <c r="H1124" s="10"/>
    </row>
    <row r="1125" spans="1:16" s="5" customFormat="1" x14ac:dyDescent="0.25">
      <c r="A1125" s="5" t="s">
        <v>1874</v>
      </c>
      <c r="B1125" s="5" t="s">
        <v>4113</v>
      </c>
      <c r="C1125" s="5" t="s">
        <v>4114</v>
      </c>
      <c r="D1125" s="5" t="s">
        <v>1913</v>
      </c>
      <c r="E1125" s="5" t="s">
        <v>195</v>
      </c>
      <c r="F1125" s="5" t="s">
        <v>24</v>
      </c>
      <c r="G1125" s="25"/>
      <c r="H1125" s="10"/>
    </row>
    <row r="1126" spans="1:16" s="5" customFormat="1" x14ac:dyDescent="0.25">
      <c r="A1126" s="5" t="s">
        <v>1874</v>
      </c>
      <c r="B1126" s="5" t="s">
        <v>4115</v>
      </c>
      <c r="C1126" s="5" t="s">
        <v>4116</v>
      </c>
      <c r="D1126" s="5" t="s">
        <v>1877</v>
      </c>
      <c r="E1126" s="5" t="s">
        <v>195</v>
      </c>
      <c r="F1126" s="5" t="s">
        <v>24</v>
      </c>
      <c r="G1126" s="25"/>
      <c r="H1126" s="10"/>
    </row>
    <row r="1127" spans="1:16" s="5" customFormat="1" x14ac:dyDescent="0.25">
      <c r="A1127" s="5" t="s">
        <v>1874</v>
      </c>
      <c r="B1127" s="5" t="s">
        <v>4117</v>
      </c>
      <c r="C1127" s="5" t="s">
        <v>4118</v>
      </c>
      <c r="D1127" s="5" t="s">
        <v>1877</v>
      </c>
      <c r="E1127" s="5" t="s">
        <v>195</v>
      </c>
      <c r="F1127" s="5" t="s">
        <v>24</v>
      </c>
      <c r="G1127" s="25"/>
      <c r="H1127" s="10"/>
    </row>
    <row r="1128" spans="1:16" s="5" customFormat="1" x14ac:dyDescent="0.25">
      <c r="A1128" s="5" t="s">
        <v>1874</v>
      </c>
      <c r="B1128" s="5" t="s">
        <v>4119</v>
      </c>
      <c r="C1128" s="5" t="s">
        <v>4120</v>
      </c>
      <c r="D1128" s="5" t="s">
        <v>1877</v>
      </c>
      <c r="E1128" s="5" t="s">
        <v>24</v>
      </c>
      <c r="F1128" s="5" t="s">
        <v>24</v>
      </c>
      <c r="G1128" s="25"/>
      <c r="H1128" s="10"/>
    </row>
    <row r="1129" spans="1:16" s="5" customFormat="1" x14ac:dyDescent="0.25">
      <c r="A1129" s="5" t="s">
        <v>1874</v>
      </c>
      <c r="B1129" s="5" t="s">
        <v>4121</v>
      </c>
      <c r="C1129" s="5" t="s">
        <v>4122</v>
      </c>
      <c r="D1129" s="5" t="s">
        <v>1877</v>
      </c>
      <c r="E1129" s="5" t="s">
        <v>24</v>
      </c>
      <c r="F1129" s="5" t="s">
        <v>24</v>
      </c>
      <c r="G1129" s="25"/>
      <c r="H1129" s="10"/>
    </row>
    <row r="1130" spans="1:16" s="5" customFormat="1" x14ac:dyDescent="0.25">
      <c r="A1130" s="5" t="s">
        <v>1874</v>
      </c>
      <c r="B1130" s="5" t="s">
        <v>4123</v>
      </c>
      <c r="C1130" s="5" t="s">
        <v>4124</v>
      </c>
      <c r="D1130" s="5" t="s">
        <v>2030</v>
      </c>
      <c r="E1130" s="5" t="s">
        <v>24</v>
      </c>
      <c r="F1130" s="5" t="s">
        <v>24</v>
      </c>
      <c r="G1130" s="25"/>
      <c r="H1130" s="10"/>
    </row>
    <row r="1131" spans="1:16" s="5" customFormat="1" x14ac:dyDescent="0.25">
      <c r="A1131" s="5" t="s">
        <v>1874</v>
      </c>
      <c r="B1131" s="5" t="s">
        <v>4125</v>
      </c>
      <c r="C1131" s="5" t="s">
        <v>4126</v>
      </c>
      <c r="D1131" s="5" t="s">
        <v>1877</v>
      </c>
      <c r="E1131" s="5" t="s">
        <v>24</v>
      </c>
      <c r="F1131" s="5" t="s">
        <v>24</v>
      </c>
      <c r="G1131" s="25"/>
      <c r="H1131" s="10"/>
    </row>
    <row r="1132" spans="1:16" s="5" customFormat="1" x14ac:dyDescent="0.25">
      <c r="A1132" s="5" t="s">
        <v>1874</v>
      </c>
      <c r="B1132" s="5" t="s">
        <v>4127</v>
      </c>
      <c r="C1132" s="5" t="s">
        <v>4128</v>
      </c>
      <c r="D1132" s="5" t="s">
        <v>1877</v>
      </c>
      <c r="E1132" s="5" t="s">
        <v>195</v>
      </c>
      <c r="F1132" s="5" t="s">
        <v>24</v>
      </c>
      <c r="G1132" s="25"/>
      <c r="H1132" s="10"/>
    </row>
    <row r="1133" spans="1:16" s="5" customFormat="1" x14ac:dyDescent="0.25">
      <c r="A1133" s="5" t="s">
        <v>1874</v>
      </c>
      <c r="B1133" s="5" t="s">
        <v>4129</v>
      </c>
      <c r="C1133" s="5" t="s">
        <v>4130</v>
      </c>
      <c r="D1133" s="5" t="s">
        <v>1877</v>
      </c>
      <c r="E1133" s="5" t="s">
        <v>195</v>
      </c>
      <c r="F1133" s="5" t="s">
        <v>24</v>
      </c>
      <c r="G1133" s="25"/>
      <c r="H1133" s="10"/>
    </row>
    <row r="1134" spans="1:16" s="5" customFormat="1" x14ac:dyDescent="0.25">
      <c r="A1134" s="5" t="s">
        <v>1874</v>
      </c>
      <c r="B1134" s="5" t="s">
        <v>4131</v>
      </c>
      <c r="C1134" s="5" t="s">
        <v>4132</v>
      </c>
      <c r="D1134" s="5" t="s">
        <v>1877</v>
      </c>
      <c r="E1134" s="5" t="s">
        <v>195</v>
      </c>
      <c r="F1134" s="5" t="s">
        <v>24</v>
      </c>
      <c r="G1134" s="25"/>
      <c r="H1134" s="10"/>
    </row>
    <row r="1135" spans="1:16" s="5" customFormat="1" x14ac:dyDescent="0.25">
      <c r="A1135" s="5" t="s">
        <v>1874</v>
      </c>
      <c r="B1135" s="5" t="s">
        <v>4133</v>
      </c>
      <c r="C1135" s="5" t="s">
        <v>4134</v>
      </c>
      <c r="D1135" s="5" t="s">
        <v>1877</v>
      </c>
      <c r="E1135" s="5" t="s">
        <v>195</v>
      </c>
      <c r="F1135" s="5" t="s">
        <v>24</v>
      </c>
      <c r="G1135" s="25"/>
      <c r="H1135" s="10"/>
    </row>
    <row r="1136" spans="1:16" s="5" customFormat="1" x14ac:dyDescent="0.25">
      <c r="A1136" s="5" t="s">
        <v>1914</v>
      </c>
      <c r="B1136" s="5" t="s">
        <v>4135</v>
      </c>
      <c r="C1136" s="5" t="s">
        <v>4136</v>
      </c>
      <c r="D1136" s="5" t="s">
        <v>1917</v>
      </c>
      <c r="E1136" s="5" t="s">
        <v>24</v>
      </c>
      <c r="F1136" s="5" t="s">
        <v>24</v>
      </c>
      <c r="G1136" s="25">
        <v>30</v>
      </c>
      <c r="H1136" s="10" t="str">
        <f>HYPERLINK("https://doc.morningstar.com/Document/74614aca18ae3fb8114df449a98a145a.msdoc?clientid=fnz&amp;key=9c0e4d166b60ffd3","TMD")</f>
        <v>TMD</v>
      </c>
      <c r="I1136" s="5" t="s">
        <v>25</v>
      </c>
      <c r="J1136" s="5" t="s">
        <v>25</v>
      </c>
      <c r="K1136" s="5" t="s">
        <v>25</v>
      </c>
      <c r="L1136" s="5" t="s">
        <v>25</v>
      </c>
      <c r="M1136" s="5" t="s">
        <v>26</v>
      </c>
      <c r="N1136" s="5" t="s">
        <v>26</v>
      </c>
      <c r="O1136" s="5" t="s">
        <v>27</v>
      </c>
      <c r="P1136" s="5" t="s">
        <v>27</v>
      </c>
    </row>
    <row r="1137" spans="1:16" s="5" customFormat="1" ht="15" customHeight="1" x14ac:dyDescent="0.25">
      <c r="A1137" s="5" t="s">
        <v>1874</v>
      </c>
      <c r="B1137" s="5" t="s">
        <v>4137</v>
      </c>
      <c r="C1137" s="5" t="s">
        <v>4138</v>
      </c>
      <c r="D1137" s="5" t="s">
        <v>1877</v>
      </c>
      <c r="E1137" s="5" t="s">
        <v>24</v>
      </c>
      <c r="F1137" s="5" t="s">
        <v>24</v>
      </c>
      <c r="G1137" s="25"/>
      <c r="H1137" s="10"/>
    </row>
    <row r="1138" spans="1:16" s="5" customFormat="1" x14ac:dyDescent="0.25">
      <c r="A1138" s="5" t="s">
        <v>1874</v>
      </c>
      <c r="B1138" s="5" t="s">
        <v>4139</v>
      </c>
      <c r="C1138" s="5" t="s">
        <v>4140</v>
      </c>
      <c r="D1138" s="5" t="s">
        <v>1877</v>
      </c>
      <c r="E1138" s="5" t="s">
        <v>195</v>
      </c>
      <c r="F1138" s="5" t="s">
        <v>24</v>
      </c>
      <c r="G1138" s="25"/>
      <c r="H1138" s="10"/>
    </row>
    <row r="1139" spans="1:16" s="5" customFormat="1" x14ac:dyDescent="0.25">
      <c r="A1139" s="5" t="s">
        <v>1874</v>
      </c>
      <c r="B1139" s="5" t="s">
        <v>4141</v>
      </c>
      <c r="C1139" s="5" t="s">
        <v>4142</v>
      </c>
      <c r="D1139" s="5" t="s">
        <v>1877</v>
      </c>
      <c r="E1139" s="5" t="s">
        <v>24</v>
      </c>
      <c r="F1139" s="5" t="s">
        <v>24</v>
      </c>
      <c r="G1139" s="25"/>
      <c r="H1139" s="10"/>
    </row>
    <row r="1140" spans="1:16" s="5" customFormat="1" x14ac:dyDescent="0.25">
      <c r="A1140" s="5" t="s">
        <v>1874</v>
      </c>
      <c r="B1140" s="5" t="s">
        <v>4143</v>
      </c>
      <c r="C1140" s="5" t="s">
        <v>4144</v>
      </c>
      <c r="D1140" s="5" t="s">
        <v>1877</v>
      </c>
      <c r="E1140" s="5" t="s">
        <v>195</v>
      </c>
      <c r="F1140" s="5" t="s">
        <v>24</v>
      </c>
      <c r="G1140" s="25"/>
      <c r="H1140" s="10"/>
    </row>
    <row r="1141" spans="1:16" s="5" customFormat="1" x14ac:dyDescent="0.25">
      <c r="A1141" s="5" t="s">
        <v>1874</v>
      </c>
      <c r="B1141" s="5" t="s">
        <v>4145</v>
      </c>
      <c r="C1141" s="5" t="s">
        <v>4146</v>
      </c>
      <c r="D1141" s="5" t="s">
        <v>1877</v>
      </c>
      <c r="E1141" s="5" t="s">
        <v>195</v>
      </c>
      <c r="F1141" s="5" t="s">
        <v>24</v>
      </c>
      <c r="G1141" s="25"/>
      <c r="H1141" s="10"/>
    </row>
    <row r="1142" spans="1:16" s="5" customFormat="1" x14ac:dyDescent="0.25">
      <c r="A1142" s="5" t="s">
        <v>1874</v>
      </c>
      <c r="B1142" s="5" t="s">
        <v>4147</v>
      </c>
      <c r="C1142" s="5" t="s">
        <v>4148</v>
      </c>
      <c r="D1142" s="5" t="s">
        <v>1877</v>
      </c>
      <c r="E1142" s="5" t="s">
        <v>24</v>
      </c>
      <c r="F1142" s="5" t="s">
        <v>24</v>
      </c>
      <c r="G1142" s="25">
        <v>5</v>
      </c>
      <c r="H1142" s="10"/>
    </row>
    <row r="1143" spans="1:16" s="5" customFormat="1" ht="30" x14ac:dyDescent="0.25">
      <c r="A1143" s="5" t="s">
        <v>1878</v>
      </c>
      <c r="B1143" s="5" t="s">
        <v>4149</v>
      </c>
      <c r="C1143" s="5" t="s">
        <v>4150</v>
      </c>
      <c r="D1143" s="5" t="s">
        <v>1881</v>
      </c>
      <c r="E1143" s="5" t="s">
        <v>195</v>
      </c>
      <c r="F1143" s="5" t="s">
        <v>24</v>
      </c>
      <c r="G1143" s="25"/>
      <c r="H1143" s="10"/>
    </row>
    <row r="1144" spans="1:16" s="5" customFormat="1" x14ac:dyDescent="0.25">
      <c r="A1144" s="5" t="s">
        <v>1914</v>
      </c>
      <c r="B1144" s="5" t="s">
        <v>4151</v>
      </c>
      <c r="C1144" s="5" t="s">
        <v>4152</v>
      </c>
      <c r="D1144" s="5" t="s">
        <v>1917</v>
      </c>
      <c r="E1144" s="5" t="s">
        <v>24</v>
      </c>
      <c r="F1144" s="5" t="s">
        <v>24</v>
      </c>
      <c r="G1144" s="25">
        <v>20</v>
      </c>
      <c r="H1144" s="10" t="str">
        <f>HYPERLINK("https://doc.morningstar.com/Document/679912dc75a859c5a985e84081b2a17e.msdoc?clientid=fnz&amp;key=9c0e4d166b60ffd3","TMD")</f>
        <v>TMD</v>
      </c>
      <c r="I1144" s="5" t="s">
        <v>25</v>
      </c>
      <c r="J1144" s="5" t="s">
        <v>25</v>
      </c>
      <c r="K1144" s="5" t="s">
        <v>25</v>
      </c>
      <c r="L1144" s="5" t="s">
        <v>25</v>
      </c>
      <c r="M1144" s="5" t="s">
        <v>26</v>
      </c>
      <c r="N1144" s="5" t="s">
        <v>26</v>
      </c>
      <c r="O1144" s="5" t="s">
        <v>26</v>
      </c>
      <c r="P1144" s="5" t="s">
        <v>27</v>
      </c>
    </row>
    <row r="1145" spans="1:16" s="5" customFormat="1" x14ac:dyDescent="0.25">
      <c r="A1145" s="5" t="s">
        <v>1914</v>
      </c>
      <c r="B1145" s="5" t="s">
        <v>4153</v>
      </c>
      <c r="C1145" s="5" t="s">
        <v>4154</v>
      </c>
      <c r="D1145" s="5" t="s">
        <v>1917</v>
      </c>
      <c r="E1145" s="5" t="s">
        <v>24</v>
      </c>
      <c r="F1145" s="5" t="s">
        <v>24</v>
      </c>
      <c r="G1145" s="25">
        <v>30</v>
      </c>
      <c r="H1145" s="10" t="str">
        <f>HYPERLINK("https://doc.morningstar.com/Document/f8340fdb73c1e500d047b11341dca359.msdoc?clientid=fnz&amp;key=9c0e4d166b60ffd3","TMD")</f>
        <v>TMD</v>
      </c>
      <c r="I1145" s="5" t="s">
        <v>25</v>
      </c>
      <c r="J1145" s="5" t="s">
        <v>25</v>
      </c>
      <c r="K1145" s="5" t="s">
        <v>25</v>
      </c>
      <c r="L1145" s="5" t="s">
        <v>25</v>
      </c>
      <c r="M1145" s="5" t="s">
        <v>26</v>
      </c>
      <c r="N1145" s="5" t="s">
        <v>26</v>
      </c>
      <c r="O1145" s="5" t="s">
        <v>27</v>
      </c>
      <c r="P1145" s="5" t="s">
        <v>26</v>
      </c>
    </row>
    <row r="1146" spans="1:16" s="5" customFormat="1" x14ac:dyDescent="0.25">
      <c r="A1146" s="5" t="s">
        <v>1914</v>
      </c>
      <c r="B1146" s="5" t="s">
        <v>4155</v>
      </c>
      <c r="C1146" s="5" t="s">
        <v>4156</v>
      </c>
      <c r="D1146" s="5" t="s">
        <v>1917</v>
      </c>
      <c r="E1146" s="5" t="s">
        <v>24</v>
      </c>
      <c r="F1146" s="5" t="s">
        <v>24</v>
      </c>
      <c r="G1146" s="25"/>
      <c r="H1146" s="10" t="str">
        <f>HYPERLINK("https://doc.morningstar.com/Document/5a7ad0722370d6e17cafcd135bcde435.msdoc?clientid=fnz&amp;key=9c0e4d166b60ffd3","TMD")</f>
        <v>TMD</v>
      </c>
      <c r="I1146" s="5" t="s">
        <v>25</v>
      </c>
      <c r="J1146" s="5" t="s">
        <v>25</v>
      </c>
      <c r="K1146" s="5" t="s">
        <v>25</v>
      </c>
      <c r="L1146" s="5" t="s">
        <v>25</v>
      </c>
      <c r="M1146" s="5" t="s">
        <v>26</v>
      </c>
      <c r="N1146" s="5" t="s">
        <v>27</v>
      </c>
      <c r="O1146" s="5" t="s">
        <v>26</v>
      </c>
      <c r="P1146" s="5" t="s">
        <v>26</v>
      </c>
    </row>
    <row r="1147" spans="1:16" s="5" customFormat="1" x14ac:dyDescent="0.25">
      <c r="A1147" s="5" t="s">
        <v>1914</v>
      </c>
      <c r="B1147" s="5" t="s">
        <v>4157</v>
      </c>
      <c r="C1147" s="5" t="s">
        <v>4158</v>
      </c>
      <c r="D1147" s="5" t="s">
        <v>1917</v>
      </c>
      <c r="E1147" s="5" t="s">
        <v>24</v>
      </c>
      <c r="F1147" s="5" t="s">
        <v>24</v>
      </c>
      <c r="G1147" s="25">
        <v>100</v>
      </c>
      <c r="H1147" s="10" t="str">
        <f>HYPERLINK("https://doc.morningstar.com/Document/c7beb52659b1bcbe904fafefd8d7499b.msdoc?clientid=fnz&amp;key=9c0e4d166b60ffd3","TMD")</f>
        <v>TMD</v>
      </c>
      <c r="I1147" s="5" t="s">
        <v>25</v>
      </c>
      <c r="J1147" s="5" t="s">
        <v>25</v>
      </c>
      <c r="K1147" s="5" t="s">
        <v>25</v>
      </c>
      <c r="L1147" s="5" t="s">
        <v>25</v>
      </c>
      <c r="M1147" s="5" t="s">
        <v>26</v>
      </c>
      <c r="N1147" s="5" t="s">
        <v>26</v>
      </c>
      <c r="O1147" s="5" t="s">
        <v>27</v>
      </c>
      <c r="P1147" s="5" t="s">
        <v>26</v>
      </c>
    </row>
    <row r="1148" spans="1:16" s="5" customFormat="1" x14ac:dyDescent="0.25">
      <c r="A1148" s="5" t="s">
        <v>1914</v>
      </c>
      <c r="B1148" s="5" t="s">
        <v>4159</v>
      </c>
      <c r="C1148" s="5" t="s">
        <v>4160</v>
      </c>
      <c r="D1148" s="5" t="s">
        <v>1917</v>
      </c>
      <c r="E1148" s="5" t="s">
        <v>24</v>
      </c>
      <c r="F1148" s="5" t="s">
        <v>24</v>
      </c>
      <c r="G1148" s="25">
        <v>100</v>
      </c>
      <c r="H1148" s="10" t="str">
        <f>HYPERLINK("https://doc.morningstar.com/Document/f8340fdb73c1e500b1d1eb6999fbaa46.msdoc?clientid=fnz&amp;key=9c0e4d166b60ffd3","TMD")</f>
        <v>TMD</v>
      </c>
      <c r="I1148" s="5" t="s">
        <v>25</v>
      </c>
      <c r="J1148" s="5" t="s">
        <v>25</v>
      </c>
      <c r="K1148" s="5" t="s">
        <v>25</v>
      </c>
      <c r="L1148" s="5" t="s">
        <v>25</v>
      </c>
      <c r="M1148" s="5" t="s">
        <v>26</v>
      </c>
      <c r="N1148" s="5" t="s">
        <v>27</v>
      </c>
      <c r="O1148" s="5" t="s">
        <v>26</v>
      </c>
      <c r="P1148" s="5" t="s">
        <v>26</v>
      </c>
    </row>
    <row r="1149" spans="1:16" s="5" customFormat="1" x14ac:dyDescent="0.25">
      <c r="A1149" s="5" t="s">
        <v>1878</v>
      </c>
      <c r="B1149" s="5" t="s">
        <v>4161</v>
      </c>
      <c r="C1149" s="5" t="s">
        <v>4162</v>
      </c>
      <c r="D1149" s="5" t="s">
        <v>1917</v>
      </c>
      <c r="E1149" s="5" t="s">
        <v>24</v>
      </c>
      <c r="F1149" s="5" t="s">
        <v>24</v>
      </c>
      <c r="G1149" s="25">
        <v>30</v>
      </c>
      <c r="H1149" s="10" t="str">
        <f>HYPERLINK("https://doc.morningstar.com/Document/faefa6eda669990ce93e673a7760a005.msdoc?clientid=fnz&amp;key=9c0e4d166b60ffd3","TMD")</f>
        <v>TMD</v>
      </c>
      <c r="I1149" s="5" t="s">
        <v>25</v>
      </c>
      <c r="J1149" s="5" t="s">
        <v>25</v>
      </c>
      <c r="K1149" s="5" t="s">
        <v>25</v>
      </c>
      <c r="L1149" s="5" t="s">
        <v>25</v>
      </c>
      <c r="M1149" s="5" t="s">
        <v>26</v>
      </c>
      <c r="N1149" s="5" t="s">
        <v>26</v>
      </c>
      <c r="O1149" s="5" t="s">
        <v>27</v>
      </c>
      <c r="P1149" s="5" t="s">
        <v>26</v>
      </c>
    </row>
    <row r="1150" spans="1:16" s="5" customFormat="1" x14ac:dyDescent="0.25">
      <c r="A1150" s="5" t="s">
        <v>1914</v>
      </c>
      <c r="B1150" s="5" t="s">
        <v>4163</v>
      </c>
      <c r="C1150" s="5" t="s">
        <v>4164</v>
      </c>
      <c r="D1150" s="5" t="s">
        <v>1917</v>
      </c>
      <c r="E1150" s="5" t="s">
        <v>24</v>
      </c>
      <c r="F1150" s="5" t="s">
        <v>24</v>
      </c>
      <c r="G1150" s="25">
        <v>30</v>
      </c>
      <c r="H1150" s="10" t="str">
        <f>HYPERLINK("https://doc.morningstar.com/Document/4a8e90f8244c09edd1de6b8bb9c33c27.msdoc?clientid=fnz&amp;key=9c0e4d166b60ffd3","TMD")</f>
        <v>TMD</v>
      </c>
      <c r="I1150" s="5" t="s">
        <v>25</v>
      </c>
      <c r="J1150" s="5" t="s">
        <v>25</v>
      </c>
      <c r="K1150" s="5" t="s">
        <v>25</v>
      </c>
      <c r="L1150" s="5" t="s">
        <v>25</v>
      </c>
      <c r="M1150" s="5" t="s">
        <v>26</v>
      </c>
      <c r="N1150" s="5" t="s">
        <v>26</v>
      </c>
      <c r="O1150" s="5" t="s">
        <v>27</v>
      </c>
      <c r="P1150" s="5" t="s">
        <v>26</v>
      </c>
    </row>
    <row r="1151" spans="1:16" s="5" customFormat="1" x14ac:dyDescent="0.25">
      <c r="A1151" s="5" t="s">
        <v>1914</v>
      </c>
      <c r="B1151" s="5" t="s">
        <v>4165</v>
      </c>
      <c r="C1151" s="5" t="s">
        <v>4166</v>
      </c>
      <c r="D1151" s="5" t="s">
        <v>1917</v>
      </c>
      <c r="E1151" s="5" t="s">
        <v>24</v>
      </c>
      <c r="F1151" s="5" t="s">
        <v>24</v>
      </c>
      <c r="G1151" s="25">
        <v>100</v>
      </c>
      <c r="H1151" s="10" t="str">
        <f>HYPERLINK("https://doc.morningstar.com/Document/af1082204409b5dee8f7e1914eae0166.msdoc?clientid=fnz&amp;key=9c0e4d166b60ffd3","TMD")</f>
        <v>TMD</v>
      </c>
      <c r="I1151" s="5" t="s">
        <v>25</v>
      </c>
      <c r="J1151" s="5" t="s">
        <v>25</v>
      </c>
      <c r="K1151" s="5" t="s">
        <v>25</v>
      </c>
      <c r="L1151" s="5" t="s">
        <v>25</v>
      </c>
      <c r="M1151" s="5" t="s">
        <v>26</v>
      </c>
      <c r="N1151" s="5" t="s">
        <v>27</v>
      </c>
      <c r="O1151" s="5" t="s">
        <v>26</v>
      </c>
      <c r="P1151" s="5" t="s">
        <v>26</v>
      </c>
    </row>
    <row r="1152" spans="1:16" s="5" customFormat="1" x14ac:dyDescent="0.25">
      <c r="A1152" s="5" t="s">
        <v>1914</v>
      </c>
      <c r="B1152" s="5" t="s">
        <v>4167</v>
      </c>
      <c r="C1152" s="5" t="s">
        <v>4168</v>
      </c>
      <c r="D1152" s="5" t="s">
        <v>1917</v>
      </c>
      <c r="E1152" s="5" t="s">
        <v>195</v>
      </c>
      <c r="F1152" s="5" t="s">
        <v>24</v>
      </c>
      <c r="G1152" s="25"/>
      <c r="H1152" s="10" t="str">
        <f>HYPERLINK("https://doc.morningstar.com/Document/c331b1aaa3f92b307b1f8a86e1d6229f.msdoc?clientid=fnz&amp;key=9c0e4d166b60ffd3","TMD")</f>
        <v>TMD</v>
      </c>
      <c r="I1152" s="5" t="s">
        <v>25</v>
      </c>
      <c r="J1152" s="5" t="s">
        <v>25</v>
      </c>
      <c r="K1152" s="5" t="s">
        <v>25</v>
      </c>
      <c r="L1152" s="5" t="s">
        <v>25</v>
      </c>
      <c r="M1152" s="5" t="s">
        <v>26</v>
      </c>
      <c r="N1152" s="5" t="s">
        <v>26</v>
      </c>
      <c r="O1152" s="5" t="s">
        <v>26</v>
      </c>
      <c r="P1152" s="5" t="s">
        <v>27</v>
      </c>
    </row>
    <row r="1153" spans="1:16" s="5" customFormat="1" x14ac:dyDescent="0.25">
      <c r="A1153" s="5" t="s">
        <v>1914</v>
      </c>
      <c r="B1153" s="5" t="s">
        <v>4169</v>
      </c>
      <c r="C1153" s="5" t="s">
        <v>4170</v>
      </c>
      <c r="D1153" s="5" t="s">
        <v>1917</v>
      </c>
      <c r="E1153" s="5" t="s">
        <v>195</v>
      </c>
      <c r="F1153" s="5" t="s">
        <v>24</v>
      </c>
      <c r="G1153" s="25"/>
      <c r="H1153" s="10" t="str">
        <f>HYPERLINK("https://doc.morningstar.com/Document/4f25035b6c3cf57a3956f4dc13f9d50f.msdoc?clientid=fnz&amp;key=9c0e4d166b60ffd3","TMD")</f>
        <v>TMD</v>
      </c>
      <c r="I1153" s="5" t="s">
        <v>25</v>
      </c>
      <c r="J1153" s="5" t="s">
        <v>25</v>
      </c>
      <c r="K1153" s="5" t="s">
        <v>25</v>
      </c>
      <c r="L1153" s="5" t="s">
        <v>25</v>
      </c>
      <c r="M1153" s="5" t="s">
        <v>26</v>
      </c>
      <c r="N1153" s="5" t="s">
        <v>26</v>
      </c>
      <c r="O1153" s="5" t="s">
        <v>26</v>
      </c>
      <c r="P1153" s="5" t="s">
        <v>27</v>
      </c>
    </row>
    <row r="1154" spans="1:16" s="5" customFormat="1" x14ac:dyDescent="0.25">
      <c r="A1154" s="5" t="s">
        <v>1914</v>
      </c>
      <c r="B1154" s="5" t="s">
        <v>4171</v>
      </c>
      <c r="C1154" s="5" t="s">
        <v>4172</v>
      </c>
      <c r="D1154" s="5" t="s">
        <v>1917</v>
      </c>
      <c r="E1154" s="5" t="s">
        <v>195</v>
      </c>
      <c r="F1154" s="5" t="s">
        <v>24</v>
      </c>
      <c r="G1154" s="25"/>
      <c r="H1154" s="10" t="str">
        <f>HYPERLINK("https://doc.morningstar.com/Document/5d800847d298950f59cbffe8c4491ab3.msdoc?clientid=fnz&amp;key=9c0e4d166b60ffd3","TMD")</f>
        <v>TMD</v>
      </c>
      <c r="I1154" s="5" t="s">
        <v>25</v>
      </c>
      <c r="J1154" s="5" t="s">
        <v>25</v>
      </c>
      <c r="K1154" s="5" t="s">
        <v>25</v>
      </c>
      <c r="L1154" s="5" t="s">
        <v>25</v>
      </c>
      <c r="M1154" s="5" t="s">
        <v>26</v>
      </c>
      <c r="N1154" s="5" t="s">
        <v>26</v>
      </c>
      <c r="O1154" s="5" t="s">
        <v>26</v>
      </c>
      <c r="P1154" s="5" t="s">
        <v>27</v>
      </c>
    </row>
    <row r="1155" spans="1:16" s="5" customFormat="1" x14ac:dyDescent="0.25">
      <c r="A1155" s="5" t="s">
        <v>1914</v>
      </c>
      <c r="B1155" s="5" t="s">
        <v>4173</v>
      </c>
      <c r="C1155" s="5" t="s">
        <v>4174</v>
      </c>
      <c r="D1155" s="5" t="s">
        <v>1917</v>
      </c>
      <c r="E1155" s="5" t="s">
        <v>24</v>
      </c>
      <c r="F1155" s="5" t="s">
        <v>24</v>
      </c>
      <c r="G1155" s="25">
        <v>30</v>
      </c>
      <c r="H1155" s="10" t="str">
        <f>HYPERLINK("https://doc.morningstar.com/Document/c547364964095946ce15d328e4c24530.msdoc?clientid=fnz&amp;key=9c0e4d166b60ffd3","TMD")</f>
        <v>TMD</v>
      </c>
      <c r="I1155" s="5" t="s">
        <v>25</v>
      </c>
      <c r="J1155" s="5" t="s">
        <v>25</v>
      </c>
      <c r="K1155" s="5" t="s">
        <v>25</v>
      </c>
      <c r="L1155" s="5" t="s">
        <v>25</v>
      </c>
      <c r="M1155" s="5" t="s">
        <v>26</v>
      </c>
      <c r="N1155" s="5" t="s">
        <v>26</v>
      </c>
      <c r="O1155" s="5" t="s">
        <v>26</v>
      </c>
      <c r="P1155" s="5" t="s">
        <v>27</v>
      </c>
    </row>
    <row r="1156" spans="1:16" s="5" customFormat="1" x14ac:dyDescent="0.25">
      <c r="A1156" s="5" t="s">
        <v>1914</v>
      </c>
      <c r="B1156" s="5" t="s">
        <v>4175</v>
      </c>
      <c r="C1156" s="5" t="s">
        <v>4176</v>
      </c>
      <c r="D1156" s="5" t="s">
        <v>1917</v>
      </c>
      <c r="E1156" s="5" t="s">
        <v>24</v>
      </c>
      <c r="F1156" s="5" t="s">
        <v>24</v>
      </c>
      <c r="G1156" s="25">
        <v>50</v>
      </c>
      <c r="H1156" s="10" t="str">
        <f>HYPERLINK("https://doc.morningstar.com/Document/4996f26a35f373695bdc3d3a85e7c391.msdoc?clientid=fnz&amp;key=9c0e4d166b60ffd3","TMD")</f>
        <v>TMD</v>
      </c>
      <c r="I1156" s="5" t="s">
        <v>25</v>
      </c>
      <c r="J1156" s="5" t="s">
        <v>25</v>
      </c>
      <c r="K1156" s="5" t="s">
        <v>25</v>
      </c>
      <c r="L1156" s="5" t="s">
        <v>25</v>
      </c>
      <c r="M1156" s="5" t="s">
        <v>26</v>
      </c>
      <c r="N1156" s="5" t="s">
        <v>26</v>
      </c>
      <c r="O1156" s="5" t="s">
        <v>27</v>
      </c>
      <c r="P1156" s="5" t="s">
        <v>27</v>
      </c>
    </row>
    <row r="1157" spans="1:16" s="5" customFormat="1" x14ac:dyDescent="0.25">
      <c r="A1157" s="5" t="s">
        <v>1878</v>
      </c>
      <c r="B1157" s="5" t="s">
        <v>4177</v>
      </c>
      <c r="C1157" s="5" t="s">
        <v>4178</v>
      </c>
      <c r="D1157" s="5" t="s">
        <v>1917</v>
      </c>
      <c r="E1157" s="5" t="s">
        <v>24</v>
      </c>
      <c r="F1157" s="5" t="s">
        <v>24</v>
      </c>
      <c r="G1157" s="25">
        <v>50</v>
      </c>
      <c r="H1157" s="10" t="str">
        <f>HYPERLINK("https://doc.morningstar.com/Document/af041e693ff773fbf3d857603ec10a70.msdoc?clientid=fnz&amp;key=9c0e4d166b60ffd3","TMD")</f>
        <v>TMD</v>
      </c>
      <c r="I1157" s="5" t="s">
        <v>25</v>
      </c>
      <c r="J1157" s="5" t="s">
        <v>25</v>
      </c>
      <c r="K1157" s="5" t="s">
        <v>25</v>
      </c>
      <c r="L1157" s="5" t="s">
        <v>25</v>
      </c>
      <c r="M1157" s="5" t="s">
        <v>26</v>
      </c>
      <c r="N1157" s="5" t="s">
        <v>26</v>
      </c>
      <c r="O1157" s="5" t="s">
        <v>27</v>
      </c>
      <c r="P1157" s="5" t="s">
        <v>27</v>
      </c>
    </row>
    <row r="1158" spans="1:16" s="5" customFormat="1" x14ac:dyDescent="0.25">
      <c r="A1158" s="5" t="s">
        <v>1914</v>
      </c>
      <c r="B1158" s="5" t="s">
        <v>4179</v>
      </c>
      <c r="C1158" s="5" t="s">
        <v>4180</v>
      </c>
      <c r="D1158" s="5" t="s">
        <v>1917</v>
      </c>
      <c r="E1158" s="5" t="s">
        <v>24</v>
      </c>
      <c r="F1158" s="5" t="s">
        <v>24</v>
      </c>
      <c r="G1158" s="25"/>
      <c r="H1158" s="10" t="str">
        <f>HYPERLINK("https://doc.morningstar.com/Document/810eb7f251d51bb467a4e0640244182f.msdoc?clientid=fnz&amp;key=9c0e4d166b60ffd3","TMD")</f>
        <v>TMD</v>
      </c>
      <c r="I1158" s="5" t="s">
        <v>25</v>
      </c>
      <c r="J1158" s="5" t="s">
        <v>25</v>
      </c>
      <c r="K1158" s="5" t="s">
        <v>25</v>
      </c>
      <c r="L1158" s="5" t="s">
        <v>25</v>
      </c>
      <c r="M1158" s="5" t="s">
        <v>26</v>
      </c>
      <c r="N1158" s="5" t="s">
        <v>26</v>
      </c>
      <c r="O1158" s="5" t="s">
        <v>26</v>
      </c>
      <c r="P1158" s="5" t="s">
        <v>26</v>
      </c>
    </row>
    <row r="1159" spans="1:16" s="5" customFormat="1" x14ac:dyDescent="0.25">
      <c r="A1159" s="5" t="s">
        <v>1914</v>
      </c>
      <c r="B1159" s="5" t="s">
        <v>4181</v>
      </c>
      <c r="C1159" s="5" t="s">
        <v>4182</v>
      </c>
      <c r="D1159" s="5" t="s">
        <v>1917</v>
      </c>
      <c r="E1159" s="5" t="s">
        <v>195</v>
      </c>
      <c r="F1159" s="5" t="s">
        <v>24</v>
      </c>
      <c r="G1159" s="25"/>
      <c r="H1159" s="10" t="str">
        <f>HYPERLINK("https://doc.morningstar.com/Document/870f80225fde54c4b4e3781c26a291f1.msdoc?clientid=fnz&amp;key=9c0e4d166b60ffd3","TMD")</f>
        <v>TMD</v>
      </c>
      <c r="I1159" s="5" t="s">
        <v>25</v>
      </c>
      <c r="J1159" s="5" t="s">
        <v>25</v>
      </c>
      <c r="K1159" s="5" t="s">
        <v>25</v>
      </c>
      <c r="L1159" s="5" t="s">
        <v>25</v>
      </c>
      <c r="M1159" s="5" t="s">
        <v>26</v>
      </c>
      <c r="N1159" s="5" t="s">
        <v>26</v>
      </c>
      <c r="O1159" s="5" t="s">
        <v>26</v>
      </c>
      <c r="P1159" s="5" t="s">
        <v>27</v>
      </c>
    </row>
    <row r="1160" spans="1:16" s="5" customFormat="1" x14ac:dyDescent="0.25">
      <c r="A1160" s="5" t="s">
        <v>1914</v>
      </c>
      <c r="B1160" s="5" t="s">
        <v>4183</v>
      </c>
      <c r="C1160" s="5" t="s">
        <v>4184</v>
      </c>
      <c r="D1160" s="5" t="s">
        <v>1917</v>
      </c>
      <c r="E1160" s="5" t="s">
        <v>24</v>
      </c>
      <c r="F1160" s="5" t="s">
        <v>24</v>
      </c>
      <c r="G1160" s="25"/>
      <c r="H1160" s="10" t="str">
        <f>HYPERLINK("https://doc.morningstar.com/Document/faefa6eda669990c1d8f1ac27b1dadc2.msdoc?clientid=fnz&amp;key=9c0e4d166b60ffd3","TMD")</f>
        <v>TMD</v>
      </c>
      <c r="I1160" s="5" t="s">
        <v>25</v>
      </c>
      <c r="J1160" s="5" t="s">
        <v>25</v>
      </c>
      <c r="K1160" s="5" t="s">
        <v>25</v>
      </c>
      <c r="L1160" s="5" t="s">
        <v>25</v>
      </c>
      <c r="M1160" s="5" t="s">
        <v>26</v>
      </c>
      <c r="N1160" s="5" t="s">
        <v>26</v>
      </c>
      <c r="O1160" s="5" t="s">
        <v>26</v>
      </c>
      <c r="P1160" s="5" t="s">
        <v>27</v>
      </c>
    </row>
    <row r="1161" spans="1:16" s="5" customFormat="1" x14ac:dyDescent="0.25">
      <c r="A1161" s="5" t="s">
        <v>1914</v>
      </c>
      <c r="B1161" s="5" t="s">
        <v>4185</v>
      </c>
      <c r="C1161" s="5" t="s">
        <v>4186</v>
      </c>
      <c r="D1161" s="5" t="s">
        <v>1917</v>
      </c>
      <c r="E1161" s="5" t="s">
        <v>195</v>
      </c>
      <c r="F1161" s="5" t="s">
        <v>24</v>
      </c>
      <c r="G1161" s="25"/>
      <c r="H1161" s="10" t="str">
        <f>HYPERLINK("https://doc.morningstar.com/Document/f17ab39a28c1b4d9f55fc401d220dd8e.msdoc?clientid=fnz&amp;key=9c0e4d166b60ffd3","TMD")</f>
        <v>TMD</v>
      </c>
      <c r="I1161" s="5" t="s">
        <v>25</v>
      </c>
      <c r="J1161" s="5" t="s">
        <v>25</v>
      </c>
      <c r="K1161" s="5" t="s">
        <v>25</v>
      </c>
      <c r="L1161" s="5" t="s">
        <v>25</v>
      </c>
      <c r="M1161" s="5" t="s">
        <v>26</v>
      </c>
      <c r="N1161" s="5" t="s">
        <v>26</v>
      </c>
      <c r="O1161" s="5" t="s">
        <v>26</v>
      </c>
      <c r="P1161" s="5" t="s">
        <v>27</v>
      </c>
    </row>
    <row r="1162" spans="1:16" s="5" customFormat="1" x14ac:dyDescent="0.25">
      <c r="A1162" s="5" t="s">
        <v>1914</v>
      </c>
      <c r="B1162" s="5" t="s">
        <v>4187</v>
      </c>
      <c r="C1162" s="5" t="s">
        <v>4188</v>
      </c>
      <c r="D1162" s="5" t="s">
        <v>1917</v>
      </c>
      <c r="E1162" s="5" t="s">
        <v>24</v>
      </c>
      <c r="F1162" s="5" t="s">
        <v>24</v>
      </c>
      <c r="G1162" s="25"/>
      <c r="H1162" s="10" t="str">
        <f>HYPERLINK("https://doc.morningstar.com/Document/a5e140370d0f74e9618aafeb39ab106c.msdoc?clientid=fnz&amp;key=9c0e4d166b60ffd3","TMD")</f>
        <v>TMD</v>
      </c>
      <c r="I1162" s="5" t="s">
        <v>25</v>
      </c>
      <c r="J1162" s="5" t="s">
        <v>25</v>
      </c>
      <c r="K1162" s="5" t="s">
        <v>25</v>
      </c>
      <c r="L1162" s="5" t="s">
        <v>25</v>
      </c>
      <c r="M1162" s="5" t="s">
        <v>26</v>
      </c>
      <c r="N1162" s="5" t="s">
        <v>26</v>
      </c>
      <c r="O1162" s="5" t="s">
        <v>26</v>
      </c>
      <c r="P1162" s="5" t="s">
        <v>27</v>
      </c>
    </row>
    <row r="1163" spans="1:16" s="5" customFormat="1" x14ac:dyDescent="0.25">
      <c r="A1163" s="5" t="s">
        <v>1914</v>
      </c>
      <c r="B1163" s="5" t="s">
        <v>4189</v>
      </c>
      <c r="C1163" s="5" t="s">
        <v>4190</v>
      </c>
      <c r="D1163" s="5" t="s">
        <v>1917</v>
      </c>
      <c r="E1163" s="5" t="s">
        <v>195</v>
      </c>
      <c r="F1163" s="5" t="s">
        <v>24</v>
      </c>
      <c r="G1163" s="25"/>
      <c r="H1163" s="10" t="str">
        <f>HYPERLINK("https://doc.morningstar.com/Document/4347a58e0f202c59864c7d20ff555db3.msdoc?clientid=fnz&amp;key=9c0e4d166b60ffd3","TMD")</f>
        <v>TMD</v>
      </c>
      <c r="I1163" s="5" t="s">
        <v>25</v>
      </c>
      <c r="J1163" s="5" t="s">
        <v>25</v>
      </c>
      <c r="K1163" s="5" t="s">
        <v>25</v>
      </c>
      <c r="L1163" s="5" t="s">
        <v>25</v>
      </c>
      <c r="M1163" s="5" t="s">
        <v>26</v>
      </c>
      <c r="N1163" s="5" t="s">
        <v>26</v>
      </c>
      <c r="O1163" s="5" t="s">
        <v>27</v>
      </c>
      <c r="P1163" s="5" t="s">
        <v>27</v>
      </c>
    </row>
    <row r="1164" spans="1:16" s="5" customFormat="1" x14ac:dyDescent="0.25">
      <c r="A1164" s="5" t="s">
        <v>1914</v>
      </c>
      <c r="B1164" s="5" t="s">
        <v>4191</v>
      </c>
      <c r="C1164" s="5" t="s">
        <v>4192</v>
      </c>
      <c r="D1164" s="5" t="s">
        <v>1917</v>
      </c>
      <c r="E1164" s="5" t="s">
        <v>24</v>
      </c>
      <c r="F1164" s="5" t="s">
        <v>24</v>
      </c>
      <c r="G1164" s="25">
        <v>30</v>
      </c>
      <c r="H1164" s="10" t="str">
        <f>HYPERLINK("https://doc.morningstar.com/Document/43449f4d80802bda048fe30cf946c4ba.msdoc?clientid=fnz&amp;key=9c0e4d166b60ffd3","TMD")</f>
        <v>TMD</v>
      </c>
      <c r="I1164" s="5" t="s">
        <v>25</v>
      </c>
      <c r="J1164" s="5" t="s">
        <v>25</v>
      </c>
      <c r="K1164" s="5" t="s">
        <v>25</v>
      </c>
      <c r="L1164" s="5" t="s">
        <v>25</v>
      </c>
      <c r="M1164" s="5" t="s">
        <v>26</v>
      </c>
      <c r="N1164" s="5" t="s">
        <v>26</v>
      </c>
      <c r="O1164" s="5" t="s">
        <v>26</v>
      </c>
      <c r="P1164" s="5" t="s">
        <v>27</v>
      </c>
    </row>
    <row r="1165" spans="1:16" s="5" customFormat="1" x14ac:dyDescent="0.25">
      <c r="A1165" s="5" t="s">
        <v>1914</v>
      </c>
      <c r="B1165" s="5" t="s">
        <v>4193</v>
      </c>
      <c r="C1165" s="5" t="s">
        <v>4194</v>
      </c>
      <c r="D1165" s="5" t="s">
        <v>1917</v>
      </c>
      <c r="E1165" s="5" t="s">
        <v>195</v>
      </c>
      <c r="F1165" s="5" t="s">
        <v>24</v>
      </c>
      <c r="G1165" s="25"/>
      <c r="H1165" s="10" t="str">
        <f>HYPERLINK("https://doc.morningstar.com/Document/b458f32abd4ed96767afb444c96c6253.msdoc?clientid=fnz&amp;key=9c0e4d166b60ffd3","TMD")</f>
        <v>TMD</v>
      </c>
      <c r="I1165" s="5" t="s">
        <v>25</v>
      </c>
      <c r="J1165" s="5" t="s">
        <v>25</v>
      </c>
      <c r="K1165" s="5" t="s">
        <v>25</v>
      </c>
      <c r="L1165" s="5" t="s">
        <v>25</v>
      </c>
      <c r="M1165" s="5" t="s">
        <v>26</v>
      </c>
      <c r="N1165" s="5" t="s">
        <v>26</v>
      </c>
      <c r="O1165" s="5" t="s">
        <v>26</v>
      </c>
      <c r="P1165" s="5" t="s">
        <v>27</v>
      </c>
    </row>
    <row r="1166" spans="1:16" s="5" customFormat="1" x14ac:dyDescent="0.25">
      <c r="A1166" s="5" t="s">
        <v>1914</v>
      </c>
      <c r="B1166" s="5" t="s">
        <v>4195</v>
      </c>
      <c r="C1166" s="5" t="s">
        <v>4196</v>
      </c>
      <c r="D1166" s="5" t="s">
        <v>1917</v>
      </c>
      <c r="E1166" s="5" t="s">
        <v>195</v>
      </c>
      <c r="F1166" s="5" t="s">
        <v>24</v>
      </c>
      <c r="G1166" s="25"/>
      <c r="H1166" s="10" t="str">
        <f>HYPERLINK("https://doc.morningstar.com/Document/bceb1eec3a62f6eea5fcbdbf30824d9d.msdoc?clientid=fnz&amp;key=9c0e4d166b60ffd3","TMD")</f>
        <v>TMD</v>
      </c>
      <c r="I1166" s="5" t="s">
        <v>25</v>
      </c>
      <c r="J1166" s="5" t="s">
        <v>25</v>
      </c>
      <c r="K1166" s="5" t="s">
        <v>25</v>
      </c>
      <c r="L1166" s="5" t="s">
        <v>25</v>
      </c>
      <c r="M1166" s="5" t="s">
        <v>26</v>
      </c>
      <c r="N1166" s="5" t="s">
        <v>26</v>
      </c>
      <c r="O1166" s="5" t="s">
        <v>26</v>
      </c>
      <c r="P1166" s="5" t="s">
        <v>26</v>
      </c>
    </row>
    <row r="1167" spans="1:16" s="5" customFormat="1" x14ac:dyDescent="0.25">
      <c r="A1167" s="5" t="s">
        <v>1914</v>
      </c>
      <c r="B1167" s="5" t="s">
        <v>4197</v>
      </c>
      <c r="C1167" s="5" t="s">
        <v>4198</v>
      </c>
      <c r="D1167" s="5" t="s">
        <v>1917</v>
      </c>
      <c r="E1167" s="5" t="s">
        <v>195</v>
      </c>
      <c r="F1167" s="5" t="s">
        <v>24</v>
      </c>
      <c r="G1167" s="25"/>
      <c r="H1167" s="10" t="str">
        <f>HYPERLINK("https://doc.morningstar.com/Document/a8e045afbcc4a4c2774dc82a80731c65.msdoc?clientid=fnz&amp;key=9c0e4d166b60ffd3","TMD")</f>
        <v>TMD</v>
      </c>
      <c r="I1167" s="5" t="s">
        <v>25</v>
      </c>
      <c r="J1167" s="5" t="s">
        <v>25</v>
      </c>
      <c r="K1167" s="5" t="s">
        <v>25</v>
      </c>
      <c r="L1167" s="5" t="s">
        <v>25</v>
      </c>
      <c r="M1167" s="5" t="s">
        <v>26</v>
      </c>
      <c r="N1167" s="5" t="s">
        <v>26</v>
      </c>
      <c r="O1167" s="5" t="s">
        <v>27</v>
      </c>
      <c r="P1167" s="5" t="s">
        <v>26</v>
      </c>
    </row>
    <row r="1168" spans="1:16" s="5" customFormat="1" x14ac:dyDescent="0.25">
      <c r="A1168" s="5" t="s">
        <v>1914</v>
      </c>
      <c r="B1168" s="5" t="s">
        <v>4199</v>
      </c>
      <c r="C1168" s="5" t="s">
        <v>4200</v>
      </c>
      <c r="D1168" s="5" t="s">
        <v>1917</v>
      </c>
      <c r="E1168" s="5" t="s">
        <v>195</v>
      </c>
      <c r="F1168" s="5" t="s">
        <v>24</v>
      </c>
      <c r="G1168" s="25"/>
      <c r="H1168" s="10" t="str">
        <f>HYPERLINK("https://doc.morningstar.com/Document/5a23e8687fb53e34cc6c518fec0f53c3.msdoc?clientid=fnz&amp;key=9c0e4d166b60ffd3","TMD")</f>
        <v>TMD</v>
      </c>
      <c r="I1168" s="5" t="s">
        <v>25</v>
      </c>
      <c r="J1168" s="5" t="s">
        <v>25</v>
      </c>
      <c r="K1168" s="5" t="s">
        <v>25</v>
      </c>
      <c r="L1168" s="5" t="s">
        <v>25</v>
      </c>
      <c r="M1168" s="5" t="s">
        <v>26</v>
      </c>
      <c r="N1168" s="5" t="s">
        <v>26</v>
      </c>
      <c r="O1168" s="5" t="s">
        <v>27</v>
      </c>
      <c r="P1168" s="5" t="s">
        <v>26</v>
      </c>
    </row>
    <row r="1169" spans="1:16" s="5" customFormat="1" x14ac:dyDescent="0.25">
      <c r="A1169" s="5" t="s">
        <v>1914</v>
      </c>
      <c r="B1169" s="5" t="s">
        <v>4201</v>
      </c>
      <c r="C1169" s="5" t="s">
        <v>4202</v>
      </c>
      <c r="D1169" s="5" t="s">
        <v>1917</v>
      </c>
      <c r="E1169" s="5" t="s">
        <v>24</v>
      </c>
      <c r="F1169" s="5" t="s">
        <v>24</v>
      </c>
      <c r="G1169" s="25">
        <v>30</v>
      </c>
      <c r="H1169" s="10" t="str">
        <f>HYPERLINK("https://doc.morningstar.com/Document/60961fb80f3178844f9b6895e147f136.msdoc?clientid=fnz&amp;key=9c0e4d166b60ffd3","TMD")</f>
        <v>TMD</v>
      </c>
      <c r="I1169" s="5" t="s">
        <v>25</v>
      </c>
      <c r="J1169" s="5" t="s">
        <v>25</v>
      </c>
      <c r="K1169" s="5" t="s">
        <v>25</v>
      </c>
      <c r="L1169" s="5" t="s">
        <v>25</v>
      </c>
      <c r="M1169" s="5" t="s">
        <v>26</v>
      </c>
      <c r="N1169" s="5" t="s">
        <v>26</v>
      </c>
      <c r="O1169" s="5" t="s">
        <v>27</v>
      </c>
      <c r="P1169" s="5" t="s">
        <v>26</v>
      </c>
    </row>
    <row r="1170" spans="1:16" s="5" customFormat="1" x14ac:dyDescent="0.25">
      <c r="A1170" s="5" t="s">
        <v>1914</v>
      </c>
      <c r="B1170" s="5" t="s">
        <v>4203</v>
      </c>
      <c r="C1170" s="5" t="s">
        <v>4204</v>
      </c>
      <c r="D1170" s="5" t="s">
        <v>1917</v>
      </c>
      <c r="E1170" s="5" t="s">
        <v>24</v>
      </c>
      <c r="F1170" s="5" t="s">
        <v>24</v>
      </c>
      <c r="G1170" s="25"/>
      <c r="H1170" s="10" t="str">
        <f>HYPERLINK("https://doc.morningstar.com/Document/af041e693ff773fbdc4c2beec27b3c74.msdoc?clientid=fnz&amp;key=9c0e4d166b60ffd3","TMD")</f>
        <v>TMD</v>
      </c>
      <c r="I1170" s="5" t="s">
        <v>25</v>
      </c>
      <c r="J1170" s="5" t="s">
        <v>25</v>
      </c>
      <c r="K1170" s="5" t="s">
        <v>25</v>
      </c>
      <c r="L1170" s="5" t="s">
        <v>25</v>
      </c>
      <c r="M1170" s="5" t="s">
        <v>26</v>
      </c>
      <c r="N1170" s="5" t="s">
        <v>26</v>
      </c>
      <c r="O1170" s="5" t="s">
        <v>27</v>
      </c>
      <c r="P1170" s="5" t="s">
        <v>26</v>
      </c>
    </row>
    <row r="1171" spans="1:16" s="5" customFormat="1" x14ac:dyDescent="0.25">
      <c r="A1171" s="5" t="s">
        <v>1914</v>
      </c>
      <c r="B1171" s="5" t="s">
        <v>4205</v>
      </c>
      <c r="C1171" s="5" t="s">
        <v>4206</v>
      </c>
      <c r="D1171" s="5" t="s">
        <v>1917</v>
      </c>
      <c r="E1171" s="5" t="s">
        <v>24</v>
      </c>
      <c r="F1171" s="5" t="s">
        <v>24</v>
      </c>
      <c r="G1171" s="25">
        <v>100</v>
      </c>
      <c r="H1171" s="10" t="str">
        <f>HYPERLINK("https://doc.morningstar.com/Document/a5e140370d0f74e97bac8bc89376e44c.msdoc?clientid=fnz&amp;key=9c0e4d166b60ffd3","TMD")</f>
        <v>TMD</v>
      </c>
      <c r="I1171" s="5" t="s">
        <v>25</v>
      </c>
      <c r="J1171" s="5" t="s">
        <v>25</v>
      </c>
      <c r="K1171" s="5" t="s">
        <v>25</v>
      </c>
      <c r="L1171" s="5" t="s">
        <v>25</v>
      </c>
      <c r="M1171" s="5" t="s">
        <v>26</v>
      </c>
      <c r="N1171" s="5" t="s">
        <v>26</v>
      </c>
      <c r="O1171" s="5" t="s">
        <v>27</v>
      </c>
      <c r="P1171" s="5" t="s">
        <v>26</v>
      </c>
    </row>
    <row r="1172" spans="1:16" s="5" customFormat="1" x14ac:dyDescent="0.25">
      <c r="A1172" s="5" t="s">
        <v>1914</v>
      </c>
      <c r="B1172" s="5" t="s">
        <v>4207</v>
      </c>
      <c r="C1172" s="5" t="s">
        <v>4208</v>
      </c>
      <c r="D1172" s="5" t="s">
        <v>1917</v>
      </c>
      <c r="E1172" s="5" t="s">
        <v>24</v>
      </c>
      <c r="F1172" s="5" t="s">
        <v>24</v>
      </c>
      <c r="G1172" s="25">
        <v>100</v>
      </c>
      <c r="H1172" s="10" t="str">
        <f>HYPERLINK("https://doc.morningstar.com/Document/c9b67360c175ac06e1965f669062282d.msdoc?clientid=fnz&amp;key=9c0e4d166b60ffd3","TMD")</f>
        <v>TMD</v>
      </c>
      <c r="I1172" s="5" t="s">
        <v>25</v>
      </c>
      <c r="J1172" s="5" t="s">
        <v>25</v>
      </c>
      <c r="K1172" s="5" t="s">
        <v>25</v>
      </c>
      <c r="L1172" s="5" t="s">
        <v>25</v>
      </c>
      <c r="M1172" s="5" t="s">
        <v>26</v>
      </c>
      <c r="N1172" s="5" t="s">
        <v>26</v>
      </c>
      <c r="O1172" s="5" t="s">
        <v>27</v>
      </c>
      <c r="P1172" s="5" t="s">
        <v>26</v>
      </c>
    </row>
    <row r="1173" spans="1:16" s="5" customFormat="1" x14ac:dyDescent="0.25">
      <c r="A1173" s="5" t="s">
        <v>1914</v>
      </c>
      <c r="B1173" s="5" t="s">
        <v>4209</v>
      </c>
      <c r="C1173" s="5" t="s">
        <v>4210</v>
      </c>
      <c r="D1173" s="5" t="s">
        <v>1917</v>
      </c>
      <c r="E1173" s="5" t="s">
        <v>24</v>
      </c>
      <c r="F1173" s="5" t="s">
        <v>24</v>
      </c>
      <c r="G1173" s="25"/>
      <c r="H1173" s="10" t="str">
        <f>HYPERLINK("https://doc.morningstar.com/Document/c7b9b0f78aa5bb97ccaab974045038c8.msdoc?clientid=fnz&amp;key=9c0e4d166b60ffd3","TMD")</f>
        <v>TMD</v>
      </c>
      <c r="I1173" s="5" t="s">
        <v>25</v>
      </c>
      <c r="J1173" s="5" t="s">
        <v>25</v>
      </c>
      <c r="K1173" s="5" t="s">
        <v>25</v>
      </c>
      <c r="L1173" s="5" t="s">
        <v>25</v>
      </c>
      <c r="M1173" s="5" t="s">
        <v>26</v>
      </c>
      <c r="N1173" s="5" t="s">
        <v>26</v>
      </c>
      <c r="O1173" s="5" t="s">
        <v>27</v>
      </c>
      <c r="P1173" s="5" t="s">
        <v>26</v>
      </c>
    </row>
    <row r="1174" spans="1:16" s="5" customFormat="1" x14ac:dyDescent="0.25">
      <c r="A1174" s="5" t="s">
        <v>1914</v>
      </c>
      <c r="B1174" s="5" t="s">
        <v>4211</v>
      </c>
      <c r="C1174" s="5" t="s">
        <v>4212</v>
      </c>
      <c r="D1174" s="5" t="s">
        <v>1917</v>
      </c>
      <c r="E1174" s="5" t="s">
        <v>24</v>
      </c>
      <c r="F1174" s="5" t="s">
        <v>24</v>
      </c>
      <c r="G1174" s="25">
        <v>100</v>
      </c>
      <c r="H1174" s="10" t="str">
        <f>HYPERLINK("https://doc.morningstar.com/Document/4347a58e0f202c59607d23824b61ad10.msdoc?clientid=fnz&amp;key=9c0e4d166b60ffd3","TMD")</f>
        <v>TMD</v>
      </c>
      <c r="I1174" s="5" t="s">
        <v>25</v>
      </c>
      <c r="J1174" s="5" t="s">
        <v>25</v>
      </c>
      <c r="K1174" s="5" t="s">
        <v>25</v>
      </c>
      <c r="L1174" s="5" t="s">
        <v>25</v>
      </c>
      <c r="M1174" s="5" t="s">
        <v>26</v>
      </c>
      <c r="N1174" s="5" t="s">
        <v>26</v>
      </c>
      <c r="O1174" s="5" t="s">
        <v>27</v>
      </c>
      <c r="P1174" s="5" t="s">
        <v>26</v>
      </c>
    </row>
    <row r="1175" spans="1:16" s="5" customFormat="1" x14ac:dyDescent="0.25">
      <c r="A1175" s="5" t="s">
        <v>1914</v>
      </c>
      <c r="B1175" s="5" t="s">
        <v>4213</v>
      </c>
      <c r="C1175" s="5" t="s">
        <v>4214</v>
      </c>
      <c r="D1175" s="5" t="s">
        <v>1917</v>
      </c>
      <c r="E1175" s="5" t="s">
        <v>24</v>
      </c>
      <c r="F1175" s="5" t="s">
        <v>24</v>
      </c>
      <c r="G1175" s="25"/>
      <c r="H1175" s="10" t="str">
        <f>HYPERLINK("https://doc.morningstar.com/Document/3d7a2df75773d605e6ea380c95de4340.msdoc?clientid=fnz&amp;key=9c0e4d166b60ffd3","TMD")</f>
        <v>TMD</v>
      </c>
      <c r="I1175" s="5" t="s">
        <v>25</v>
      </c>
      <c r="J1175" s="5" t="s">
        <v>25</v>
      </c>
      <c r="K1175" s="5" t="s">
        <v>25</v>
      </c>
      <c r="L1175" s="5" t="s">
        <v>25</v>
      </c>
      <c r="M1175" s="5" t="s">
        <v>26</v>
      </c>
      <c r="N1175" s="5" t="s">
        <v>26</v>
      </c>
      <c r="O1175" s="5" t="s">
        <v>27</v>
      </c>
      <c r="P1175" s="5" t="s">
        <v>26</v>
      </c>
    </row>
    <row r="1176" spans="1:16" s="5" customFormat="1" x14ac:dyDescent="0.25">
      <c r="A1176" s="5" t="s">
        <v>1914</v>
      </c>
      <c r="B1176" s="5" t="s">
        <v>4215</v>
      </c>
      <c r="C1176" s="5" t="s">
        <v>4216</v>
      </c>
      <c r="D1176" s="5" t="s">
        <v>1917</v>
      </c>
      <c r="E1176" s="5" t="s">
        <v>24</v>
      </c>
      <c r="F1176" s="5" t="s">
        <v>24</v>
      </c>
      <c r="G1176" s="25">
        <v>30</v>
      </c>
      <c r="H1176" s="10" t="str">
        <f>HYPERLINK("https://doc.morningstar.com/Document/6e495dda0b751afe139f85048cbf541a.msdoc?clientid=fnz&amp;key=9c0e4d166b60ffd3","TMD")</f>
        <v>TMD</v>
      </c>
      <c r="I1176" s="5" t="s">
        <v>25</v>
      </c>
      <c r="J1176" s="5" t="s">
        <v>25</v>
      </c>
      <c r="K1176" s="5" t="s">
        <v>25</v>
      </c>
      <c r="L1176" s="5" t="s">
        <v>25</v>
      </c>
      <c r="M1176" s="5" t="s">
        <v>26</v>
      </c>
      <c r="N1176" s="5" t="s">
        <v>26</v>
      </c>
      <c r="O1176" s="5" t="s">
        <v>27</v>
      </c>
      <c r="P1176" s="5" t="s">
        <v>26</v>
      </c>
    </row>
    <row r="1177" spans="1:16" s="5" customFormat="1" x14ac:dyDescent="0.25">
      <c r="A1177" s="5" t="s">
        <v>1914</v>
      </c>
      <c r="B1177" s="5" t="s">
        <v>4217</v>
      </c>
      <c r="C1177" s="5" t="s">
        <v>4218</v>
      </c>
      <c r="D1177" s="5" t="s">
        <v>1917</v>
      </c>
      <c r="E1177" s="5" t="s">
        <v>24</v>
      </c>
      <c r="F1177" s="5" t="s">
        <v>24</v>
      </c>
      <c r="G1177" s="25">
        <v>30</v>
      </c>
      <c r="H1177" s="10" t="str">
        <f>HYPERLINK("https://doc.morningstar.com/Document/c9b67360c175ac06f94f34a66c56596b.msdoc?clientid=fnz&amp;key=9c0e4d166b60ffd3","TMD")</f>
        <v>TMD</v>
      </c>
      <c r="I1177" s="5" t="s">
        <v>25</v>
      </c>
      <c r="J1177" s="5" t="s">
        <v>25</v>
      </c>
      <c r="K1177" s="5" t="s">
        <v>25</v>
      </c>
      <c r="L1177" s="5" t="s">
        <v>25</v>
      </c>
      <c r="M1177" s="5" t="s">
        <v>26</v>
      </c>
      <c r="N1177" s="5" t="s">
        <v>26</v>
      </c>
      <c r="O1177" s="5" t="s">
        <v>27</v>
      </c>
      <c r="P1177" s="5" t="s">
        <v>26</v>
      </c>
    </row>
    <row r="1178" spans="1:16" s="5" customFormat="1" x14ac:dyDescent="0.25">
      <c r="A1178" s="5" t="s">
        <v>1914</v>
      </c>
      <c r="B1178" s="5" t="s">
        <v>4219</v>
      </c>
      <c r="C1178" s="5" t="s">
        <v>4220</v>
      </c>
      <c r="D1178" s="5" t="s">
        <v>1917</v>
      </c>
      <c r="E1178" s="5" t="s">
        <v>24</v>
      </c>
      <c r="F1178" s="5" t="s">
        <v>24</v>
      </c>
      <c r="G1178" s="25">
        <v>30</v>
      </c>
      <c r="H1178" s="10" t="str">
        <f>HYPERLINK("https://doc.morningstar.com/Document/f8340fdb73c1e500622af862758eb410.msdoc?clientid=fnz&amp;key=9c0e4d166b60ffd3","TMD")</f>
        <v>TMD</v>
      </c>
      <c r="I1178" s="5" t="s">
        <v>25</v>
      </c>
      <c r="J1178" s="5" t="s">
        <v>25</v>
      </c>
      <c r="K1178" s="5" t="s">
        <v>25</v>
      </c>
      <c r="L1178" s="5" t="s">
        <v>25</v>
      </c>
      <c r="M1178" s="5" t="s">
        <v>26</v>
      </c>
      <c r="N1178" s="5" t="s">
        <v>26</v>
      </c>
      <c r="O1178" s="5" t="s">
        <v>27</v>
      </c>
      <c r="P1178" s="5" t="s">
        <v>26</v>
      </c>
    </row>
    <row r="1179" spans="1:16" s="5" customFormat="1" x14ac:dyDescent="0.25">
      <c r="A1179" s="5" t="s">
        <v>1914</v>
      </c>
      <c r="B1179" s="5" t="s">
        <v>4221</v>
      </c>
      <c r="C1179" s="5" t="s">
        <v>4222</v>
      </c>
      <c r="D1179" s="5" t="s">
        <v>1917</v>
      </c>
      <c r="E1179" s="5" t="s">
        <v>24</v>
      </c>
      <c r="F1179" s="5" t="s">
        <v>24</v>
      </c>
      <c r="G1179" s="25">
        <v>30</v>
      </c>
      <c r="H1179" s="10" t="str">
        <f>HYPERLINK("https://doc.morningstar.com/Document/4a8e90f8244c09ed57e0dfd87157f45f.msdoc?clientid=fnz&amp;key=9c0e4d166b60ffd3","TMD")</f>
        <v>TMD</v>
      </c>
      <c r="I1179" s="5" t="s">
        <v>25</v>
      </c>
      <c r="J1179" s="5" t="s">
        <v>25</v>
      </c>
      <c r="K1179" s="5" t="s">
        <v>25</v>
      </c>
      <c r="L1179" s="5" t="s">
        <v>25</v>
      </c>
      <c r="M1179" s="5" t="s">
        <v>26</v>
      </c>
      <c r="N1179" s="5" t="s">
        <v>26</v>
      </c>
      <c r="O1179" s="5" t="s">
        <v>27</v>
      </c>
      <c r="P1179" s="5" t="s">
        <v>26</v>
      </c>
    </row>
    <row r="1180" spans="1:16" s="5" customFormat="1" x14ac:dyDescent="0.25">
      <c r="A1180" s="5" t="s">
        <v>1914</v>
      </c>
      <c r="B1180" s="5" t="s">
        <v>4223</v>
      </c>
      <c r="C1180" s="5" t="s">
        <v>4224</v>
      </c>
      <c r="D1180" s="5" t="s">
        <v>1917</v>
      </c>
      <c r="E1180" s="5" t="s">
        <v>24</v>
      </c>
      <c r="F1180" s="5" t="s">
        <v>24</v>
      </c>
      <c r="G1180" s="25">
        <v>30</v>
      </c>
      <c r="H1180" s="10" t="str">
        <f>HYPERLINK("https://doc.morningstar.com/Document/5095bbe0250ee7af5e1e9e5dea3540ec.msdoc?clientid=fnz&amp;key=9c0e4d166b60ffd3","TMD")</f>
        <v>TMD</v>
      </c>
      <c r="I1180" s="5" t="s">
        <v>25</v>
      </c>
      <c r="J1180" s="5" t="s">
        <v>25</v>
      </c>
      <c r="K1180" s="5" t="s">
        <v>25</v>
      </c>
      <c r="L1180" s="5" t="s">
        <v>25</v>
      </c>
      <c r="M1180" s="5" t="s">
        <v>26</v>
      </c>
      <c r="N1180" s="5" t="s">
        <v>26</v>
      </c>
      <c r="O1180" s="5" t="s">
        <v>26</v>
      </c>
      <c r="P1180" s="5" t="s">
        <v>27</v>
      </c>
    </row>
    <row r="1181" spans="1:16" s="5" customFormat="1" x14ac:dyDescent="0.25">
      <c r="A1181" s="5" t="s">
        <v>1914</v>
      </c>
      <c r="B1181" s="5" t="s">
        <v>4225</v>
      </c>
      <c r="C1181" s="5" t="s">
        <v>4226</v>
      </c>
      <c r="D1181" s="5" t="s">
        <v>1917</v>
      </c>
      <c r="E1181" s="5" t="s">
        <v>24</v>
      </c>
      <c r="F1181" s="5" t="s">
        <v>24</v>
      </c>
      <c r="G1181" s="25">
        <v>100</v>
      </c>
      <c r="H1181" s="10" t="str">
        <f>HYPERLINK("https://doc.morningstar.com/Document/5737b0fbc8dd98bd8aa219d7f8ad7c15.msdoc?clientid=fnz&amp;key=9c0e4d166b60ffd3","TMD")</f>
        <v>TMD</v>
      </c>
      <c r="I1181" s="5" t="s">
        <v>25</v>
      </c>
      <c r="J1181" s="5" t="s">
        <v>25</v>
      </c>
      <c r="K1181" s="5" t="s">
        <v>25</v>
      </c>
      <c r="L1181" s="5" t="s">
        <v>25</v>
      </c>
      <c r="M1181" s="5" t="s">
        <v>26</v>
      </c>
      <c r="N1181" s="5" t="s">
        <v>26</v>
      </c>
      <c r="O1181" s="5" t="s">
        <v>27</v>
      </c>
      <c r="P1181" s="5" t="s">
        <v>27</v>
      </c>
    </row>
    <row r="1182" spans="1:16" s="5" customFormat="1" x14ac:dyDescent="0.25">
      <c r="A1182" s="5" t="s">
        <v>1914</v>
      </c>
      <c r="B1182" s="5" t="s">
        <v>4227</v>
      </c>
      <c r="C1182" s="5" t="s">
        <v>4228</v>
      </c>
      <c r="D1182" s="5" t="s">
        <v>1917</v>
      </c>
      <c r="E1182" s="5" t="s">
        <v>24</v>
      </c>
      <c r="F1182" s="5" t="s">
        <v>24</v>
      </c>
      <c r="G1182" s="25">
        <v>100</v>
      </c>
      <c r="H1182" s="10" t="str">
        <f>HYPERLINK("https://doc.morningstar.com/Document/0f2f8fe68eb93c6f97b599f9c36c4b98.msdoc?clientid=fnz&amp;key=9c0e4d166b60ffd3","TMD")</f>
        <v>TMD</v>
      </c>
      <c r="I1182" s="5" t="s">
        <v>25</v>
      </c>
      <c r="J1182" s="5" t="s">
        <v>25</v>
      </c>
      <c r="K1182" s="5" t="s">
        <v>25</v>
      </c>
      <c r="L1182" s="5" t="s">
        <v>25</v>
      </c>
      <c r="M1182" s="5" t="s">
        <v>26</v>
      </c>
      <c r="N1182" s="5" t="s">
        <v>27</v>
      </c>
      <c r="O1182" s="5" t="s">
        <v>26</v>
      </c>
      <c r="P1182" s="5" t="s">
        <v>26</v>
      </c>
    </row>
    <row r="1183" spans="1:16" s="5" customFormat="1" x14ac:dyDescent="0.25">
      <c r="A1183" s="5" t="s">
        <v>1914</v>
      </c>
      <c r="B1183" s="5" t="s">
        <v>4229</v>
      </c>
      <c r="C1183" s="5" t="s">
        <v>4230</v>
      </c>
      <c r="D1183" s="5" t="s">
        <v>1917</v>
      </c>
      <c r="E1183" s="5" t="s">
        <v>24</v>
      </c>
      <c r="F1183" s="5" t="s">
        <v>24</v>
      </c>
      <c r="G1183" s="25">
        <v>100</v>
      </c>
      <c r="H1183" s="10" t="str">
        <f>HYPERLINK("https://doc.morningstar.com/Document/11ad68c156af0a9a43b4a5eb54529f42.msdoc?clientid=fnz&amp;key=9c0e4d166b60ffd3","TMD")</f>
        <v>TMD</v>
      </c>
      <c r="I1183" s="5" t="s">
        <v>25</v>
      </c>
      <c r="J1183" s="5" t="s">
        <v>25</v>
      </c>
      <c r="K1183" s="5" t="s">
        <v>25</v>
      </c>
      <c r="L1183" s="5" t="s">
        <v>25</v>
      </c>
      <c r="M1183" s="5" t="s">
        <v>26</v>
      </c>
      <c r="N1183" s="5" t="s">
        <v>27</v>
      </c>
      <c r="O1183" s="5" t="s">
        <v>26</v>
      </c>
      <c r="P1183" s="5" t="s">
        <v>26</v>
      </c>
    </row>
    <row r="1184" spans="1:16" s="5" customFormat="1" x14ac:dyDescent="0.25">
      <c r="A1184" s="5" t="s">
        <v>1914</v>
      </c>
      <c r="B1184" s="5" t="s">
        <v>4231</v>
      </c>
      <c r="C1184" s="5" t="s">
        <v>4232</v>
      </c>
      <c r="D1184" s="5" t="s">
        <v>1917</v>
      </c>
      <c r="E1184" s="5" t="s">
        <v>24</v>
      </c>
      <c r="F1184" s="5" t="s">
        <v>24</v>
      </c>
      <c r="G1184" s="25">
        <v>100</v>
      </c>
      <c r="H1184" s="10" t="str">
        <f>HYPERLINK("https://doc.morningstar.com/Document/3e2678a05d45f3da5048708e400d72fd.msdoc?clientid=fnz&amp;key=9c0e4d166b60ffd3","TMD")</f>
        <v>TMD</v>
      </c>
      <c r="I1184" s="5" t="s">
        <v>25</v>
      </c>
      <c r="J1184" s="5" t="s">
        <v>25</v>
      </c>
      <c r="K1184" s="5" t="s">
        <v>25</v>
      </c>
      <c r="L1184" s="5" t="s">
        <v>25</v>
      </c>
      <c r="M1184" s="5" t="s">
        <v>26</v>
      </c>
      <c r="N1184" s="5" t="s">
        <v>27</v>
      </c>
      <c r="O1184" s="5" t="s">
        <v>26</v>
      </c>
      <c r="P1184" s="5" t="s">
        <v>26</v>
      </c>
    </row>
    <row r="1185" spans="1:16" s="5" customFormat="1" x14ac:dyDescent="0.25">
      <c r="A1185" s="5" t="s">
        <v>1878</v>
      </c>
      <c r="B1185" s="5" t="s">
        <v>4233</v>
      </c>
      <c r="C1185" s="5" t="s">
        <v>4234</v>
      </c>
      <c r="D1185" s="5" t="s">
        <v>1917</v>
      </c>
      <c r="E1185" s="5" t="s">
        <v>24</v>
      </c>
      <c r="F1185" s="5" t="s">
        <v>24</v>
      </c>
      <c r="G1185" s="25">
        <v>50</v>
      </c>
      <c r="H1185" s="10" t="str">
        <f>HYPERLINK("https://doc.morningstar.com/Document/c420d00de93369683d6c00fc8a54aa9d.msdoc?clientid=fnz&amp;key=9c0e4d166b60ffd3","TMD")</f>
        <v>TMD</v>
      </c>
      <c r="I1185" s="5" t="s">
        <v>25</v>
      </c>
      <c r="J1185" s="5" t="s">
        <v>25</v>
      </c>
      <c r="K1185" s="5" t="s">
        <v>25</v>
      </c>
      <c r="L1185" s="5" t="s">
        <v>25</v>
      </c>
      <c r="M1185" s="5" t="s">
        <v>26</v>
      </c>
      <c r="N1185" s="5" t="s">
        <v>26</v>
      </c>
      <c r="O1185" s="5" t="s">
        <v>27</v>
      </c>
      <c r="P1185" s="5" t="s">
        <v>27</v>
      </c>
    </row>
    <row r="1186" spans="1:16" s="5" customFormat="1" x14ac:dyDescent="0.25">
      <c r="A1186" s="5" t="s">
        <v>1914</v>
      </c>
      <c r="B1186" s="5" t="s">
        <v>4235</v>
      </c>
      <c r="C1186" s="5" t="s">
        <v>4236</v>
      </c>
      <c r="D1186" s="5" t="s">
        <v>1917</v>
      </c>
      <c r="E1186" s="5" t="s">
        <v>24</v>
      </c>
      <c r="F1186" s="5" t="s">
        <v>24</v>
      </c>
      <c r="G1186" s="25">
        <v>100</v>
      </c>
      <c r="H1186" s="10" t="str">
        <f>HYPERLINK("https://doc.morningstar.com/Document/458caadc35d0b9a2f05c12483ed6792f.msdoc?clientid=fnz&amp;key=9c0e4d166b60ffd3","TMD")</f>
        <v>TMD</v>
      </c>
      <c r="I1186" s="5" t="s">
        <v>25</v>
      </c>
      <c r="J1186" s="5" t="s">
        <v>25</v>
      </c>
      <c r="K1186" s="5" t="s">
        <v>25</v>
      </c>
      <c r="L1186" s="5" t="s">
        <v>25</v>
      </c>
      <c r="M1186" s="5" t="s">
        <v>26</v>
      </c>
      <c r="N1186" s="5" t="s">
        <v>26</v>
      </c>
      <c r="O1186" s="5" t="s">
        <v>27</v>
      </c>
      <c r="P1186" s="5" t="s">
        <v>27</v>
      </c>
    </row>
    <row r="1187" spans="1:16" s="5" customFormat="1" x14ac:dyDescent="0.25">
      <c r="A1187" s="5" t="s">
        <v>1914</v>
      </c>
      <c r="B1187" s="5" t="s">
        <v>4237</v>
      </c>
      <c r="C1187" s="5" t="s">
        <v>4238</v>
      </c>
      <c r="D1187" s="5" t="s">
        <v>1917</v>
      </c>
      <c r="E1187" s="5" t="s">
        <v>24</v>
      </c>
      <c r="F1187" s="5" t="s">
        <v>24</v>
      </c>
      <c r="G1187" s="25">
        <v>100</v>
      </c>
      <c r="H1187" s="10" t="str">
        <f>HYPERLINK("https://doc.morningstar.com/Document/458caadc35d0b9a2aa75952e87607c92.msdoc?clientid=fnz&amp;key=9c0e4d166b60ffd3","TMD")</f>
        <v>TMD</v>
      </c>
      <c r="I1187" s="5" t="s">
        <v>25</v>
      </c>
      <c r="J1187" s="5" t="s">
        <v>25</v>
      </c>
      <c r="K1187" s="5" t="s">
        <v>25</v>
      </c>
      <c r="L1187" s="5" t="s">
        <v>25</v>
      </c>
      <c r="M1187" s="5" t="s">
        <v>26</v>
      </c>
      <c r="N1187" s="5" t="s">
        <v>26</v>
      </c>
      <c r="O1187" s="5" t="s">
        <v>27</v>
      </c>
      <c r="P1187" s="5" t="s">
        <v>27</v>
      </c>
    </row>
    <row r="1188" spans="1:16" s="5" customFormat="1" x14ac:dyDescent="0.25">
      <c r="A1188" s="5" t="s">
        <v>1914</v>
      </c>
      <c r="B1188" s="5" t="s">
        <v>4239</v>
      </c>
      <c r="C1188" s="5" t="s">
        <v>4240</v>
      </c>
      <c r="D1188" s="5" t="s">
        <v>1917</v>
      </c>
      <c r="E1188" s="5" t="s">
        <v>24</v>
      </c>
      <c r="F1188" s="5" t="s">
        <v>24</v>
      </c>
      <c r="G1188" s="25">
        <v>100</v>
      </c>
      <c r="H1188" s="10" t="str">
        <f>HYPERLINK("https://doc.morningstar.com/Document/f3f25e60556c04307c536fd3524e5415.msdoc?clientid=fnz&amp;key=9c0e4d166b60ffd3","TMD")</f>
        <v>TMD</v>
      </c>
      <c r="I1188" s="5" t="s">
        <v>25</v>
      </c>
      <c r="J1188" s="5" t="s">
        <v>25</v>
      </c>
      <c r="K1188" s="5" t="s">
        <v>25</v>
      </c>
      <c r="L1188" s="5" t="s">
        <v>25</v>
      </c>
      <c r="M1188" s="5" t="s">
        <v>26</v>
      </c>
      <c r="N1188" s="5" t="s">
        <v>27</v>
      </c>
      <c r="O1188" s="5" t="s">
        <v>26</v>
      </c>
      <c r="P1188" s="5" t="s">
        <v>26</v>
      </c>
    </row>
    <row r="1189" spans="1:16" s="5" customFormat="1" x14ac:dyDescent="0.25">
      <c r="A1189" s="5" t="s">
        <v>1914</v>
      </c>
      <c r="B1189" s="5" t="s">
        <v>4241</v>
      </c>
      <c r="C1189" s="5" t="s">
        <v>4242</v>
      </c>
      <c r="D1189" s="5" t="s">
        <v>1917</v>
      </c>
      <c r="E1189" s="5" t="s">
        <v>24</v>
      </c>
      <c r="F1189" s="5" t="s">
        <v>24</v>
      </c>
      <c r="G1189" s="25">
        <v>100</v>
      </c>
      <c r="H1189" s="10" t="str">
        <f>HYPERLINK("https://doc.morningstar.com/Document/5aa4492dacdfa99f56eaa8e321c0d6c1.msdoc?clientid=fnz&amp;key=9c0e4d166b60ffd3","TMD")</f>
        <v>TMD</v>
      </c>
      <c r="I1189" s="5" t="s">
        <v>25</v>
      </c>
      <c r="J1189" s="5" t="s">
        <v>25</v>
      </c>
      <c r="K1189" s="5" t="s">
        <v>25</v>
      </c>
      <c r="L1189" s="5" t="s">
        <v>25</v>
      </c>
      <c r="M1189" s="5" t="s">
        <v>26</v>
      </c>
      <c r="N1189" s="5" t="s">
        <v>27</v>
      </c>
      <c r="O1189" s="5" t="s">
        <v>26</v>
      </c>
      <c r="P1189" s="5" t="s">
        <v>26</v>
      </c>
    </row>
    <row r="1190" spans="1:16" s="5" customFormat="1" x14ac:dyDescent="0.25">
      <c r="A1190" s="5" t="s">
        <v>1914</v>
      </c>
      <c r="B1190" s="5" t="s">
        <v>4243</v>
      </c>
      <c r="C1190" s="5" t="s">
        <v>4244</v>
      </c>
      <c r="D1190" s="5" t="s">
        <v>1917</v>
      </c>
      <c r="E1190" s="5" t="s">
        <v>24</v>
      </c>
      <c r="F1190" s="5" t="s">
        <v>24</v>
      </c>
      <c r="G1190" s="25">
        <v>100</v>
      </c>
      <c r="H1190" s="10" t="str">
        <f>HYPERLINK("https://doc.morningstar.com/Document/53ea398d6ef48fedf30549786e8e5f2a.msdoc?clientid=fnz&amp;key=9c0e4d166b60ffd3","TMD")</f>
        <v>TMD</v>
      </c>
      <c r="I1190" s="5" t="s">
        <v>25</v>
      </c>
      <c r="J1190" s="5" t="s">
        <v>25</v>
      </c>
      <c r="K1190" s="5" t="s">
        <v>25</v>
      </c>
      <c r="L1190" s="5" t="s">
        <v>25</v>
      </c>
      <c r="M1190" s="5" t="s">
        <v>26</v>
      </c>
      <c r="N1190" s="5" t="s">
        <v>26</v>
      </c>
      <c r="O1190" s="5" t="s">
        <v>27</v>
      </c>
      <c r="P1190" s="5" t="s">
        <v>27</v>
      </c>
    </row>
    <row r="1191" spans="1:16" s="5" customFormat="1" x14ac:dyDescent="0.25">
      <c r="A1191" s="5" t="s">
        <v>1914</v>
      </c>
      <c r="B1191" s="5" t="s">
        <v>4245</v>
      </c>
      <c r="C1191" s="5" t="s">
        <v>4246</v>
      </c>
      <c r="D1191" s="5" t="s">
        <v>1917</v>
      </c>
      <c r="E1191" s="5" t="s">
        <v>24</v>
      </c>
      <c r="F1191" s="5" t="s">
        <v>24</v>
      </c>
      <c r="G1191" s="25">
        <v>100</v>
      </c>
      <c r="H1191" s="10" t="str">
        <f>HYPERLINK("https://doc.morningstar.com/Document/87fa83bab1ede609109c831fd2d1e7b8.msdoc?clientid=fnz&amp;key=9c0e4d166b60ffd3","TMD")</f>
        <v>TMD</v>
      </c>
      <c r="I1191" s="5" t="s">
        <v>25</v>
      </c>
      <c r="J1191" s="5" t="s">
        <v>25</v>
      </c>
      <c r="K1191" s="5" t="s">
        <v>25</v>
      </c>
      <c r="L1191" s="5" t="s">
        <v>25</v>
      </c>
      <c r="M1191" s="5" t="s">
        <v>26</v>
      </c>
      <c r="N1191" s="5" t="s">
        <v>26</v>
      </c>
      <c r="O1191" s="5" t="s">
        <v>27</v>
      </c>
      <c r="P1191" s="5" t="s">
        <v>27</v>
      </c>
    </row>
    <row r="1192" spans="1:16" s="5" customFormat="1" x14ac:dyDescent="0.25">
      <c r="A1192" s="5" t="s">
        <v>1914</v>
      </c>
      <c r="B1192" s="5" t="s">
        <v>4247</v>
      </c>
      <c r="C1192" s="5" t="s">
        <v>4248</v>
      </c>
      <c r="D1192" s="5" t="s">
        <v>1917</v>
      </c>
      <c r="E1192" s="5" t="s">
        <v>24</v>
      </c>
      <c r="F1192" s="5" t="s">
        <v>24</v>
      </c>
      <c r="G1192" s="25">
        <v>100</v>
      </c>
      <c r="H1192" s="10" t="str">
        <f>HYPERLINK("https://doc.morningstar.com/Document/8cc0148e35339e55fb2406ceac3f999c.msdoc?clientid=fnz&amp;key=9c0e4d166b60ffd3","TMD")</f>
        <v>TMD</v>
      </c>
      <c r="I1192" s="5" t="s">
        <v>25</v>
      </c>
      <c r="J1192" s="5" t="s">
        <v>25</v>
      </c>
      <c r="K1192" s="5" t="s">
        <v>25</v>
      </c>
      <c r="L1192" s="5" t="s">
        <v>25</v>
      </c>
      <c r="M1192" s="5" t="s">
        <v>26</v>
      </c>
      <c r="N1192" s="5" t="s">
        <v>26</v>
      </c>
      <c r="O1192" s="5" t="s">
        <v>27</v>
      </c>
      <c r="P1192" s="5" t="s">
        <v>27</v>
      </c>
    </row>
    <row r="1193" spans="1:16" s="5" customFormat="1" x14ac:dyDescent="0.25">
      <c r="A1193" s="5" t="s">
        <v>1914</v>
      </c>
      <c r="B1193" s="5" t="s">
        <v>4249</v>
      </c>
      <c r="C1193" s="5" t="s">
        <v>4250</v>
      </c>
      <c r="D1193" s="5" t="s">
        <v>1917</v>
      </c>
      <c r="E1193" s="5" t="s">
        <v>24</v>
      </c>
      <c r="F1193" s="5" t="s">
        <v>24</v>
      </c>
      <c r="G1193" s="25">
        <v>100</v>
      </c>
      <c r="H1193" s="10" t="str">
        <f>HYPERLINK("https://doc.morningstar.com/Document/2af9a06e66cf7c1caf46202b8b9907f2.msdoc?clientid=fnz&amp;key=9c0e4d166b60ffd3","TMD")</f>
        <v>TMD</v>
      </c>
      <c r="I1193" s="5" t="s">
        <v>25</v>
      </c>
      <c r="J1193" s="5" t="s">
        <v>25</v>
      </c>
      <c r="K1193" s="5" t="s">
        <v>25</v>
      </c>
      <c r="L1193" s="5" t="s">
        <v>25</v>
      </c>
      <c r="M1193" s="5" t="s">
        <v>26</v>
      </c>
      <c r="N1193" s="5" t="s">
        <v>27</v>
      </c>
      <c r="O1193" s="5" t="s">
        <v>27</v>
      </c>
      <c r="P1193" s="5" t="s">
        <v>26</v>
      </c>
    </row>
    <row r="1194" spans="1:16" s="5" customFormat="1" x14ac:dyDescent="0.25">
      <c r="A1194" s="5" t="s">
        <v>1914</v>
      </c>
      <c r="B1194" s="5" t="s">
        <v>4251</v>
      </c>
      <c r="C1194" s="5" t="s">
        <v>4252</v>
      </c>
      <c r="D1194" s="5" t="s">
        <v>1917</v>
      </c>
      <c r="E1194" s="5" t="s">
        <v>24</v>
      </c>
      <c r="F1194" s="5" t="s">
        <v>24</v>
      </c>
      <c r="G1194" s="25">
        <v>100</v>
      </c>
      <c r="H1194" s="10" t="str">
        <f>HYPERLINK("https://doc.morningstar.com/Document/70e848b61b854fdf3cfbfdc96029a872.msdoc?clientid=fnz&amp;key=9c0e4d166b60ffd3","TMD")</f>
        <v>TMD</v>
      </c>
      <c r="I1194" s="5" t="s">
        <v>25</v>
      </c>
      <c r="J1194" s="5" t="s">
        <v>25</v>
      </c>
      <c r="K1194" s="5" t="s">
        <v>25</v>
      </c>
      <c r="L1194" s="5" t="s">
        <v>25</v>
      </c>
      <c r="M1194" s="5" t="s">
        <v>26</v>
      </c>
      <c r="N1194" s="5" t="s">
        <v>26</v>
      </c>
      <c r="O1194" s="5" t="s">
        <v>27</v>
      </c>
      <c r="P1194" s="5" t="s">
        <v>27</v>
      </c>
    </row>
    <row r="1195" spans="1:16" s="5" customFormat="1" x14ac:dyDescent="0.25">
      <c r="A1195" s="5" t="s">
        <v>1914</v>
      </c>
      <c r="B1195" s="5" t="s">
        <v>4253</v>
      </c>
      <c r="C1195" s="5" t="s">
        <v>4254</v>
      </c>
      <c r="D1195" s="5" t="s">
        <v>1917</v>
      </c>
      <c r="E1195" s="5" t="s">
        <v>195</v>
      </c>
      <c r="F1195" s="5" t="s">
        <v>24</v>
      </c>
      <c r="G1195" s="25"/>
      <c r="H1195" s="10" t="str">
        <f>HYPERLINK("https://doc.morningstar.com/Document/8243ea57f9ba114f7bca7dc4924f7ba3.msdoc?clientid=fnz&amp;key=9c0e4d166b60ffd3","TMD")</f>
        <v>TMD</v>
      </c>
      <c r="I1195" s="5" t="s">
        <v>25</v>
      </c>
      <c r="J1195" s="5" t="s">
        <v>25</v>
      </c>
      <c r="K1195" s="5" t="s">
        <v>25</v>
      </c>
      <c r="L1195" s="5" t="s">
        <v>25</v>
      </c>
      <c r="M1195" s="5" t="s">
        <v>26</v>
      </c>
      <c r="N1195" s="5" t="s">
        <v>26</v>
      </c>
      <c r="O1195" s="5" t="s">
        <v>27</v>
      </c>
      <c r="P1195" s="5" t="s">
        <v>27</v>
      </c>
    </row>
    <row r="1196" spans="1:16" s="5" customFormat="1" x14ac:dyDescent="0.25">
      <c r="A1196" s="5" t="s">
        <v>1914</v>
      </c>
      <c r="B1196" s="5" t="s">
        <v>4255</v>
      </c>
      <c r="C1196" s="5" t="s">
        <v>4256</v>
      </c>
      <c r="D1196" s="5" t="s">
        <v>1917</v>
      </c>
      <c r="E1196" s="5" t="s">
        <v>24</v>
      </c>
      <c r="F1196" s="5" t="s">
        <v>24</v>
      </c>
      <c r="G1196" s="25">
        <v>30</v>
      </c>
      <c r="H1196" s="10" t="str">
        <f>HYPERLINK("https://doc.morningstar.com/Document/2e422ed406060290789e54485bca8846.msdoc?clientid=fnz&amp;key=9c0e4d166b60ffd3","TMD")</f>
        <v>TMD</v>
      </c>
      <c r="I1196" s="5" t="s">
        <v>25</v>
      </c>
      <c r="J1196" s="5" t="s">
        <v>25</v>
      </c>
      <c r="K1196" s="5" t="s">
        <v>25</v>
      </c>
      <c r="L1196" s="5" t="s">
        <v>25</v>
      </c>
      <c r="M1196" s="5" t="s">
        <v>26</v>
      </c>
      <c r="N1196" s="5" t="s">
        <v>26</v>
      </c>
      <c r="O1196" s="5" t="s">
        <v>27</v>
      </c>
      <c r="P1196" s="5" t="s">
        <v>27</v>
      </c>
    </row>
    <row r="1197" spans="1:16" s="5" customFormat="1" x14ac:dyDescent="0.25">
      <c r="A1197" s="5" t="s">
        <v>1914</v>
      </c>
      <c r="B1197" s="5" t="s">
        <v>4257</v>
      </c>
      <c r="C1197" s="5" t="s">
        <v>4258</v>
      </c>
      <c r="D1197" s="5" t="s">
        <v>1917</v>
      </c>
      <c r="E1197" s="5" t="s">
        <v>24</v>
      </c>
      <c r="F1197" s="5" t="s">
        <v>24</v>
      </c>
      <c r="G1197" s="25">
        <v>100</v>
      </c>
      <c r="H1197" s="10" t="str">
        <f>HYPERLINK("https://doc.morningstar.com/Document/2af9a06e66cf7c1cbbcf0c2dd4abb1b5.msdoc?clientid=fnz&amp;key=9c0e4d166b60ffd3","TMD")</f>
        <v>TMD</v>
      </c>
      <c r="I1197" s="5" t="s">
        <v>25</v>
      </c>
      <c r="J1197" s="5" t="s">
        <v>25</v>
      </c>
      <c r="K1197" s="5" t="s">
        <v>25</v>
      </c>
      <c r="L1197" s="5" t="s">
        <v>25</v>
      </c>
      <c r="M1197" s="5" t="s">
        <v>26</v>
      </c>
      <c r="N1197" s="5" t="s">
        <v>26</v>
      </c>
      <c r="O1197" s="5" t="s">
        <v>27</v>
      </c>
      <c r="P1197" s="5" t="s">
        <v>27</v>
      </c>
    </row>
    <row r="1198" spans="1:16" s="5" customFormat="1" x14ac:dyDescent="0.25">
      <c r="A1198" s="5" t="s">
        <v>1914</v>
      </c>
      <c r="B1198" s="5" t="s">
        <v>4259</v>
      </c>
      <c r="C1198" s="5" t="s">
        <v>4260</v>
      </c>
      <c r="D1198" s="5" t="s">
        <v>1917</v>
      </c>
      <c r="E1198" s="5" t="s">
        <v>24</v>
      </c>
      <c r="F1198" s="5" t="s">
        <v>24</v>
      </c>
      <c r="G1198" s="25">
        <v>100</v>
      </c>
      <c r="H1198" s="10" t="str">
        <f>HYPERLINK("https://doc.morningstar.com/Document/2af9a06e66cf7c1ce0e178e142035f4f.msdoc?clientid=fnz&amp;key=9c0e4d166b60ffd3","TMD")</f>
        <v>TMD</v>
      </c>
      <c r="I1198" s="5" t="s">
        <v>25</v>
      </c>
      <c r="J1198" s="5" t="s">
        <v>25</v>
      </c>
      <c r="K1198" s="5" t="s">
        <v>25</v>
      </c>
      <c r="L1198" s="5" t="s">
        <v>25</v>
      </c>
      <c r="M1198" s="5" t="s">
        <v>26</v>
      </c>
      <c r="N1198" s="5" t="s">
        <v>27</v>
      </c>
      <c r="O1198" s="5" t="s">
        <v>27</v>
      </c>
      <c r="P1198" s="5" t="s">
        <v>26</v>
      </c>
    </row>
    <row r="1199" spans="1:16" s="5" customFormat="1" x14ac:dyDescent="0.25">
      <c r="A1199" s="5" t="s">
        <v>1914</v>
      </c>
      <c r="B1199" s="5" t="s">
        <v>4261</v>
      </c>
      <c r="C1199" s="5" t="s">
        <v>4262</v>
      </c>
      <c r="D1199" s="5" t="s">
        <v>1917</v>
      </c>
      <c r="E1199" s="5" t="s">
        <v>24</v>
      </c>
      <c r="F1199" s="5" t="s">
        <v>24</v>
      </c>
      <c r="G1199" s="25">
        <v>50</v>
      </c>
      <c r="H1199" s="10" t="str">
        <f>HYPERLINK("https://doc.morningstar.com/Document/70e848b61b854fdf701c181602b925e4.msdoc?clientid=fnz&amp;key=9c0e4d166b60ffd3","TMD")</f>
        <v>TMD</v>
      </c>
      <c r="I1199" s="5" t="s">
        <v>25</v>
      </c>
      <c r="J1199" s="5" t="s">
        <v>25</v>
      </c>
      <c r="K1199" s="5" t="s">
        <v>25</v>
      </c>
      <c r="L1199" s="5" t="s">
        <v>25</v>
      </c>
      <c r="M1199" s="5" t="s">
        <v>26</v>
      </c>
      <c r="N1199" s="5" t="s">
        <v>26</v>
      </c>
      <c r="O1199" s="5" t="s">
        <v>27</v>
      </c>
      <c r="P1199" s="5" t="s">
        <v>27</v>
      </c>
    </row>
    <row r="1200" spans="1:16" s="5" customFormat="1" x14ac:dyDescent="0.25">
      <c r="A1200" s="5" t="s">
        <v>1914</v>
      </c>
      <c r="B1200" s="5" t="s">
        <v>4263</v>
      </c>
      <c r="C1200" s="5" t="s">
        <v>4264</v>
      </c>
      <c r="D1200" s="5" t="s">
        <v>1917</v>
      </c>
      <c r="E1200" s="5" t="s">
        <v>24</v>
      </c>
      <c r="F1200" s="5" t="s">
        <v>24</v>
      </c>
      <c r="G1200" s="25">
        <v>100</v>
      </c>
      <c r="H1200" s="10" t="str">
        <f>HYPERLINK("https://doc.morningstar.com/Document/00faae39425d303515cdc5a97d6566b0.msdoc?clientid=fnz&amp;key=9c0e4d166b60ffd3","TMD")</f>
        <v>TMD</v>
      </c>
      <c r="I1200" s="5" t="s">
        <v>25</v>
      </c>
      <c r="J1200" s="5" t="s">
        <v>25</v>
      </c>
      <c r="K1200" s="5" t="s">
        <v>25</v>
      </c>
      <c r="L1200" s="5" t="s">
        <v>25</v>
      </c>
      <c r="M1200" s="5" t="s">
        <v>26</v>
      </c>
      <c r="N1200" s="5" t="s">
        <v>26</v>
      </c>
      <c r="O1200" s="5" t="s">
        <v>27</v>
      </c>
      <c r="P1200" s="5" t="s">
        <v>27</v>
      </c>
    </row>
    <row r="1201" spans="1:16" s="5" customFormat="1" x14ac:dyDescent="0.25">
      <c r="A1201" s="5" t="s">
        <v>1914</v>
      </c>
      <c r="B1201" s="5" t="s">
        <v>4265</v>
      </c>
      <c r="C1201" s="5" t="s">
        <v>4266</v>
      </c>
      <c r="D1201" s="5" t="s">
        <v>1917</v>
      </c>
      <c r="E1201" s="5" t="s">
        <v>24</v>
      </c>
      <c r="F1201" s="5" t="s">
        <v>24</v>
      </c>
      <c r="G1201" s="25">
        <v>100</v>
      </c>
      <c r="H1201" s="10" t="str">
        <f>HYPERLINK("https://doc.morningstar.com/Document/c5bd1c7eb0da512a0a541116b25d1063.msdoc?clientid=fnz&amp;key=9c0e4d166b60ffd3","TMD")</f>
        <v>TMD</v>
      </c>
      <c r="I1201" s="5" t="s">
        <v>25</v>
      </c>
      <c r="J1201" s="5" t="s">
        <v>25</v>
      </c>
      <c r="K1201" s="5" t="s">
        <v>25</v>
      </c>
      <c r="L1201" s="5" t="s">
        <v>25</v>
      </c>
      <c r="M1201" s="5" t="s">
        <v>26</v>
      </c>
      <c r="N1201" s="5" t="s">
        <v>27</v>
      </c>
      <c r="O1201" s="5" t="s">
        <v>27</v>
      </c>
      <c r="P1201" s="5" t="s">
        <v>26</v>
      </c>
    </row>
    <row r="1202" spans="1:16" s="5" customFormat="1" x14ac:dyDescent="0.25">
      <c r="A1202" s="5" t="s">
        <v>1914</v>
      </c>
      <c r="B1202" s="5" t="s">
        <v>4267</v>
      </c>
      <c r="C1202" s="5" t="s">
        <v>4268</v>
      </c>
      <c r="D1202" s="5" t="s">
        <v>1917</v>
      </c>
      <c r="E1202" s="5" t="s">
        <v>24</v>
      </c>
      <c r="F1202" s="5" t="s">
        <v>24</v>
      </c>
      <c r="G1202" s="25">
        <v>100</v>
      </c>
      <c r="H1202" s="10" t="str">
        <f>HYPERLINK("https://doc.morningstar.com/Document/3e396680ed566ac66fa9f8d8f10f45b4.msdoc?clientid=fnz&amp;key=9c0e4d166b60ffd3","TMD")</f>
        <v>TMD</v>
      </c>
      <c r="I1202" s="5" t="s">
        <v>25</v>
      </c>
      <c r="J1202" s="5" t="s">
        <v>25</v>
      </c>
      <c r="K1202" s="5" t="s">
        <v>25</v>
      </c>
      <c r="L1202" s="5" t="s">
        <v>25</v>
      </c>
      <c r="M1202" s="5" t="s">
        <v>26</v>
      </c>
      <c r="N1202" s="5" t="s">
        <v>27</v>
      </c>
      <c r="O1202" s="5" t="s">
        <v>26</v>
      </c>
      <c r="P1202" s="5" t="s">
        <v>26</v>
      </c>
    </row>
    <row r="1203" spans="1:16" s="5" customFormat="1" x14ac:dyDescent="0.25">
      <c r="A1203" s="5" t="s">
        <v>1914</v>
      </c>
      <c r="B1203" s="5" t="s">
        <v>4269</v>
      </c>
      <c r="C1203" s="5" t="s">
        <v>4270</v>
      </c>
      <c r="D1203" s="5" t="s">
        <v>1917</v>
      </c>
      <c r="E1203" s="5" t="s">
        <v>24</v>
      </c>
      <c r="F1203" s="5" t="s">
        <v>24</v>
      </c>
      <c r="G1203" s="25">
        <v>100</v>
      </c>
      <c r="H1203" s="10" t="str">
        <f>HYPERLINK("https://doc.morningstar.com/Document/d48ab6e6656a851e5b8c1a563fa53f95.msdoc?clientid=fnz&amp;key=9c0e4d166b60ffd3","TMD")</f>
        <v>TMD</v>
      </c>
      <c r="I1203" s="5" t="s">
        <v>25</v>
      </c>
      <c r="J1203" s="5" t="s">
        <v>25</v>
      </c>
      <c r="K1203" s="5" t="s">
        <v>25</v>
      </c>
      <c r="L1203" s="5" t="s">
        <v>25</v>
      </c>
      <c r="M1203" s="5" t="s">
        <v>26</v>
      </c>
      <c r="N1203" s="5" t="s">
        <v>26</v>
      </c>
      <c r="O1203" s="5" t="s">
        <v>27</v>
      </c>
      <c r="P1203" s="5" t="s">
        <v>27</v>
      </c>
    </row>
    <row r="1204" spans="1:16" s="5" customFormat="1" x14ac:dyDescent="0.25">
      <c r="A1204" s="5" t="s">
        <v>1914</v>
      </c>
      <c r="B1204" s="5" t="s">
        <v>4271</v>
      </c>
      <c r="C1204" s="5" t="s">
        <v>4272</v>
      </c>
      <c r="D1204" s="5" t="s">
        <v>1917</v>
      </c>
      <c r="E1204" s="5" t="s">
        <v>24</v>
      </c>
      <c r="F1204" s="5" t="s">
        <v>24</v>
      </c>
      <c r="G1204" s="25">
        <v>30</v>
      </c>
      <c r="H1204" s="10" t="str">
        <f>HYPERLINK("https://doc.morningstar.com/Document/83f11b7d89e6f6e8943f14148d3ffb72.msdoc?clientid=fnz&amp;key=9c0e4d166b60ffd3","TMD")</f>
        <v>TMD</v>
      </c>
      <c r="I1204" s="5" t="s">
        <v>25</v>
      </c>
      <c r="J1204" s="5" t="s">
        <v>25</v>
      </c>
      <c r="K1204" s="5" t="s">
        <v>25</v>
      </c>
      <c r="L1204" s="5" t="s">
        <v>25</v>
      </c>
      <c r="M1204" s="5" t="s">
        <v>26</v>
      </c>
      <c r="N1204" s="5" t="s">
        <v>26</v>
      </c>
      <c r="O1204" s="5" t="s">
        <v>27</v>
      </c>
      <c r="P1204" s="5" t="s">
        <v>27</v>
      </c>
    </row>
    <row r="1205" spans="1:16" s="5" customFormat="1" x14ac:dyDescent="0.25">
      <c r="A1205" s="5" t="s">
        <v>1914</v>
      </c>
      <c r="B1205" s="5" t="s">
        <v>4273</v>
      </c>
      <c r="C1205" s="5" t="s">
        <v>4274</v>
      </c>
      <c r="D1205" s="5" t="s">
        <v>1917</v>
      </c>
      <c r="E1205" s="5" t="s">
        <v>24</v>
      </c>
      <c r="F1205" s="5" t="s">
        <v>24</v>
      </c>
      <c r="G1205" s="25">
        <v>100</v>
      </c>
      <c r="H1205" s="10" t="str">
        <f>HYPERLINK("https://doc.morningstar.com/Document/7c4622e28c80e09c556535077df01cf3.msdoc?clientid=fnz&amp;key=9c0e4d166b60ffd3","TMD")</f>
        <v>TMD</v>
      </c>
      <c r="I1205" s="5" t="s">
        <v>25</v>
      </c>
      <c r="J1205" s="5" t="s">
        <v>25</v>
      </c>
      <c r="K1205" s="5" t="s">
        <v>25</v>
      </c>
      <c r="L1205" s="5" t="s">
        <v>25</v>
      </c>
      <c r="M1205" s="5" t="s">
        <v>26</v>
      </c>
      <c r="N1205" s="5" t="s">
        <v>26</v>
      </c>
      <c r="O1205" s="5" t="s">
        <v>27</v>
      </c>
      <c r="P1205" s="5" t="s">
        <v>27</v>
      </c>
    </row>
    <row r="1206" spans="1:16" s="5" customFormat="1" x14ac:dyDescent="0.25">
      <c r="A1206" s="5" t="s">
        <v>1914</v>
      </c>
      <c r="B1206" s="5" t="s">
        <v>4275</v>
      </c>
      <c r="C1206" s="5" t="s">
        <v>4276</v>
      </c>
      <c r="D1206" s="5" t="s">
        <v>1917</v>
      </c>
      <c r="E1206" s="5" t="s">
        <v>24</v>
      </c>
      <c r="F1206" s="5" t="s">
        <v>24</v>
      </c>
      <c r="G1206" s="25">
        <v>100</v>
      </c>
      <c r="H1206" s="10" t="str">
        <f>HYPERLINK("https://doc.morningstar.com/Document/eb824249a0fac0d543ef6dfb568a46d9.msdoc?clientid=fnz&amp;key=9c0e4d166b60ffd3","TMD")</f>
        <v>TMD</v>
      </c>
      <c r="I1206" s="5" t="s">
        <v>25</v>
      </c>
      <c r="J1206" s="5" t="s">
        <v>25</v>
      </c>
      <c r="K1206" s="5" t="s">
        <v>25</v>
      </c>
      <c r="L1206" s="5" t="s">
        <v>25</v>
      </c>
      <c r="M1206" s="5" t="s">
        <v>26</v>
      </c>
      <c r="N1206" s="5" t="s">
        <v>26</v>
      </c>
      <c r="O1206" s="5" t="s">
        <v>27</v>
      </c>
      <c r="P1206" s="5" t="s">
        <v>27</v>
      </c>
    </row>
    <row r="1207" spans="1:16" s="5" customFormat="1" x14ac:dyDescent="0.25">
      <c r="A1207" s="5" t="s">
        <v>1914</v>
      </c>
      <c r="B1207" s="5" t="s">
        <v>4277</v>
      </c>
      <c r="C1207" s="5" t="s">
        <v>4278</v>
      </c>
      <c r="D1207" s="5" t="s">
        <v>1917</v>
      </c>
      <c r="E1207" s="5" t="s">
        <v>24</v>
      </c>
      <c r="F1207" s="5" t="s">
        <v>24</v>
      </c>
      <c r="G1207" s="25"/>
      <c r="H1207" s="10" t="str">
        <f>HYPERLINK("https://doc.morningstar.com/Document/83f76d6a7afdf4b30c23eafe962dae21.msdoc?clientid=fnz&amp;key=9c0e4d166b60ffd3","TMD")</f>
        <v>TMD</v>
      </c>
      <c r="I1207" s="5" t="s">
        <v>25</v>
      </c>
      <c r="J1207" s="5" t="s">
        <v>25</v>
      </c>
      <c r="K1207" s="5" t="s">
        <v>25</v>
      </c>
      <c r="L1207" s="5" t="s">
        <v>25</v>
      </c>
      <c r="M1207" s="5" t="s">
        <v>26</v>
      </c>
      <c r="N1207" s="5" t="s">
        <v>26</v>
      </c>
      <c r="O1207" s="5" t="s">
        <v>27</v>
      </c>
      <c r="P1207" s="5" t="s">
        <v>27</v>
      </c>
    </row>
    <row r="1208" spans="1:16" s="5" customFormat="1" x14ac:dyDescent="0.25">
      <c r="A1208" s="5" t="s">
        <v>1914</v>
      </c>
      <c r="B1208" s="5" t="s">
        <v>4279</v>
      </c>
      <c r="C1208" s="5" t="s">
        <v>4280</v>
      </c>
      <c r="D1208" s="5" t="s">
        <v>1917</v>
      </c>
      <c r="E1208" s="5" t="s">
        <v>24</v>
      </c>
      <c r="F1208" s="5" t="s">
        <v>24</v>
      </c>
      <c r="G1208" s="25">
        <v>100</v>
      </c>
      <c r="H1208" s="10" t="str">
        <f>HYPERLINK("https://doc.morningstar.com/Document/5e0bf2815173abf72055d76dac1c973d.msdoc?clientid=fnz&amp;key=9c0e4d166b60ffd3","TMD")</f>
        <v>TMD</v>
      </c>
      <c r="I1208" s="5" t="s">
        <v>25</v>
      </c>
      <c r="J1208" s="5" t="s">
        <v>25</v>
      </c>
      <c r="K1208" s="5" t="s">
        <v>25</v>
      </c>
      <c r="L1208" s="5" t="s">
        <v>25</v>
      </c>
      <c r="M1208" s="5" t="s">
        <v>26</v>
      </c>
      <c r="N1208" s="5" t="s">
        <v>26</v>
      </c>
      <c r="O1208" s="5" t="s">
        <v>27</v>
      </c>
      <c r="P1208" s="5" t="s">
        <v>27</v>
      </c>
    </row>
    <row r="1209" spans="1:16" s="5" customFormat="1" x14ac:dyDescent="0.25">
      <c r="A1209" s="5" t="s">
        <v>1874</v>
      </c>
      <c r="B1209" s="5" t="s">
        <v>4281</v>
      </c>
      <c r="C1209" s="5" t="s">
        <v>4282</v>
      </c>
      <c r="D1209" s="5" t="s">
        <v>1877</v>
      </c>
      <c r="E1209" s="5" t="s">
        <v>24</v>
      </c>
      <c r="F1209" s="5" t="s">
        <v>24</v>
      </c>
      <c r="G1209" s="25"/>
      <c r="H1209" s="10"/>
    </row>
    <row r="1210" spans="1:16" s="5" customFormat="1" x14ac:dyDescent="0.25">
      <c r="A1210" s="5" t="s">
        <v>1874</v>
      </c>
      <c r="B1210" s="5" t="s">
        <v>4283</v>
      </c>
      <c r="C1210" s="5" t="s">
        <v>4284</v>
      </c>
      <c r="D1210" s="5" t="s">
        <v>1877</v>
      </c>
      <c r="E1210" s="5" t="s">
        <v>195</v>
      </c>
      <c r="F1210" s="5" t="s">
        <v>24</v>
      </c>
      <c r="G1210" s="25"/>
      <c r="H1210" s="10"/>
    </row>
    <row r="1211" spans="1:16" s="5" customFormat="1" ht="15" customHeight="1" x14ac:dyDescent="0.25">
      <c r="A1211" s="5" t="s">
        <v>1874</v>
      </c>
      <c r="B1211" s="5" t="s">
        <v>4285</v>
      </c>
      <c r="C1211" s="5" t="s">
        <v>4286</v>
      </c>
      <c r="D1211" s="5" t="s">
        <v>1877</v>
      </c>
      <c r="E1211" s="5" t="s">
        <v>195</v>
      </c>
      <c r="F1211" s="5" t="s">
        <v>24</v>
      </c>
      <c r="G1211" s="25"/>
      <c r="H1211" s="10"/>
    </row>
    <row r="1212" spans="1:16" s="5" customFormat="1" x14ac:dyDescent="0.25">
      <c r="A1212" s="5" t="s">
        <v>1874</v>
      </c>
      <c r="B1212" s="5" t="s">
        <v>4287</v>
      </c>
      <c r="C1212" s="5" t="s">
        <v>4288</v>
      </c>
      <c r="D1212" s="5" t="s">
        <v>1877</v>
      </c>
      <c r="E1212" s="5" t="s">
        <v>24</v>
      </c>
      <c r="F1212" s="5" t="s">
        <v>24</v>
      </c>
      <c r="G1212" s="25"/>
      <c r="H1212" s="10"/>
    </row>
    <row r="1213" spans="1:16" s="5" customFormat="1" x14ac:dyDescent="0.25">
      <c r="A1213" s="5" t="s">
        <v>1874</v>
      </c>
      <c r="B1213" s="5" t="s">
        <v>4289</v>
      </c>
      <c r="C1213" s="5" t="s">
        <v>4290</v>
      </c>
      <c r="D1213" s="5" t="s">
        <v>1877</v>
      </c>
      <c r="E1213" s="5" t="s">
        <v>195</v>
      </c>
      <c r="F1213" s="5" t="s">
        <v>24</v>
      </c>
      <c r="G1213" s="25"/>
      <c r="H1213" s="10"/>
    </row>
    <row r="1214" spans="1:16" s="5" customFormat="1" x14ac:dyDescent="0.25">
      <c r="A1214" s="5" t="s">
        <v>1874</v>
      </c>
      <c r="B1214" s="5" t="s">
        <v>4291</v>
      </c>
      <c r="C1214" s="5" t="s">
        <v>4292</v>
      </c>
      <c r="D1214" s="5" t="s">
        <v>1877</v>
      </c>
      <c r="E1214" s="5" t="s">
        <v>24</v>
      </c>
      <c r="F1214" s="5" t="s">
        <v>24</v>
      </c>
      <c r="G1214" s="25">
        <v>100</v>
      </c>
      <c r="H1214" s="10"/>
    </row>
    <row r="1215" spans="1:16" s="5" customFormat="1" x14ac:dyDescent="0.25">
      <c r="A1215" s="5" t="s">
        <v>1874</v>
      </c>
      <c r="B1215" s="5" t="s">
        <v>4293</v>
      </c>
      <c r="C1215" s="5" t="s">
        <v>4294</v>
      </c>
      <c r="D1215" s="5" t="s">
        <v>1877</v>
      </c>
      <c r="E1215" s="5" t="s">
        <v>195</v>
      </c>
      <c r="F1215" s="5" t="s">
        <v>24</v>
      </c>
      <c r="G1215" s="25"/>
      <c r="H1215" s="10"/>
    </row>
    <row r="1216" spans="1:16" s="5" customFormat="1" ht="30" x14ac:dyDescent="0.25">
      <c r="A1216" s="5" t="s">
        <v>1878</v>
      </c>
      <c r="B1216" s="5" t="s">
        <v>4295</v>
      </c>
      <c r="C1216" s="5" t="s">
        <v>4296</v>
      </c>
      <c r="D1216" s="5" t="s">
        <v>1881</v>
      </c>
      <c r="E1216" s="5" t="s">
        <v>24</v>
      </c>
      <c r="F1216" s="5" t="s">
        <v>24</v>
      </c>
      <c r="G1216" s="25"/>
      <c r="H1216" s="10"/>
    </row>
    <row r="1217" spans="1:8" s="5" customFormat="1" x14ac:dyDescent="0.25">
      <c r="A1217" s="5" t="s">
        <v>1874</v>
      </c>
      <c r="B1217" s="5" t="s">
        <v>4297</v>
      </c>
      <c r="C1217" s="5" t="s">
        <v>4298</v>
      </c>
      <c r="D1217" s="5" t="s">
        <v>1877</v>
      </c>
      <c r="E1217" s="5" t="s">
        <v>195</v>
      </c>
      <c r="F1217" s="5" t="s">
        <v>24</v>
      </c>
      <c r="G1217" s="25"/>
      <c r="H1217" s="10"/>
    </row>
    <row r="1218" spans="1:8" s="5" customFormat="1" x14ac:dyDescent="0.25">
      <c r="A1218" s="5" t="s">
        <v>1874</v>
      </c>
      <c r="B1218" s="5" t="s">
        <v>4299</v>
      </c>
      <c r="C1218" s="5" t="s">
        <v>4300</v>
      </c>
      <c r="D1218" s="5" t="s">
        <v>1877</v>
      </c>
      <c r="E1218" s="5" t="s">
        <v>195</v>
      </c>
      <c r="F1218" s="5" t="s">
        <v>24</v>
      </c>
      <c r="G1218" s="25"/>
      <c r="H1218" s="10"/>
    </row>
    <row r="1219" spans="1:8" s="5" customFormat="1" x14ac:dyDescent="0.25">
      <c r="A1219" s="5" t="s">
        <v>1874</v>
      </c>
      <c r="B1219" s="5" t="s">
        <v>4301</v>
      </c>
      <c r="C1219" s="5" t="s">
        <v>4302</v>
      </c>
      <c r="D1219" s="5" t="s">
        <v>1877</v>
      </c>
      <c r="E1219" s="5" t="s">
        <v>195</v>
      </c>
      <c r="F1219" s="5" t="s">
        <v>24</v>
      </c>
      <c r="G1219" s="25"/>
      <c r="H1219" s="10"/>
    </row>
    <row r="1220" spans="1:8" s="5" customFormat="1" x14ac:dyDescent="0.25">
      <c r="A1220" s="5" t="s">
        <v>1874</v>
      </c>
      <c r="B1220" s="5" t="s">
        <v>4303</v>
      </c>
      <c r="C1220" s="5" t="s">
        <v>4304</v>
      </c>
      <c r="D1220" s="5" t="s">
        <v>1877</v>
      </c>
      <c r="E1220" s="5" t="s">
        <v>195</v>
      </c>
      <c r="F1220" s="5" t="s">
        <v>24</v>
      </c>
      <c r="G1220" s="25"/>
      <c r="H1220" s="10"/>
    </row>
    <row r="1221" spans="1:8" s="5" customFormat="1" x14ac:dyDescent="0.25">
      <c r="A1221" s="5" t="s">
        <v>1874</v>
      </c>
      <c r="B1221" s="5" t="s">
        <v>4305</v>
      </c>
      <c r="C1221" s="5" t="s">
        <v>4306</v>
      </c>
      <c r="D1221" s="5" t="s">
        <v>1877</v>
      </c>
      <c r="E1221" s="5" t="s">
        <v>195</v>
      </c>
      <c r="F1221" s="5" t="s">
        <v>24</v>
      </c>
      <c r="G1221" s="25"/>
      <c r="H1221" s="10"/>
    </row>
    <row r="1222" spans="1:8" s="5" customFormat="1" x14ac:dyDescent="0.25">
      <c r="A1222" s="5" t="s">
        <v>1874</v>
      </c>
      <c r="B1222" s="5" t="s">
        <v>4307</v>
      </c>
      <c r="C1222" s="5" t="s">
        <v>4308</v>
      </c>
      <c r="D1222" s="5" t="s">
        <v>1877</v>
      </c>
      <c r="E1222" s="5" t="s">
        <v>24</v>
      </c>
      <c r="F1222" s="5" t="s">
        <v>24</v>
      </c>
      <c r="G1222" s="25"/>
      <c r="H1222" s="10"/>
    </row>
    <row r="1223" spans="1:8" s="5" customFormat="1" x14ac:dyDescent="0.25">
      <c r="A1223" s="5" t="s">
        <v>1874</v>
      </c>
      <c r="B1223" s="5" t="s">
        <v>4309</v>
      </c>
      <c r="C1223" s="5" t="s">
        <v>4310</v>
      </c>
      <c r="D1223" s="5" t="s">
        <v>1877</v>
      </c>
      <c r="E1223" s="5" t="s">
        <v>195</v>
      </c>
      <c r="F1223" s="5" t="s">
        <v>24</v>
      </c>
      <c r="G1223" s="25"/>
      <c r="H1223" s="10"/>
    </row>
    <row r="1224" spans="1:8" s="5" customFormat="1" x14ac:dyDescent="0.25">
      <c r="A1224" s="5" t="s">
        <v>1874</v>
      </c>
      <c r="B1224" s="5" t="s">
        <v>4311</v>
      </c>
      <c r="C1224" s="5" t="s">
        <v>4312</v>
      </c>
      <c r="D1224" s="5" t="s">
        <v>1877</v>
      </c>
      <c r="E1224" s="5" t="s">
        <v>195</v>
      </c>
      <c r="F1224" s="5" t="s">
        <v>24</v>
      </c>
      <c r="G1224" s="25"/>
      <c r="H1224" s="10"/>
    </row>
    <row r="1225" spans="1:8" s="5" customFormat="1" x14ac:dyDescent="0.25">
      <c r="A1225" s="5" t="s">
        <v>1874</v>
      </c>
      <c r="B1225" s="5" t="s">
        <v>4313</v>
      </c>
      <c r="C1225" s="5" t="s">
        <v>4314</v>
      </c>
      <c r="D1225" s="5" t="s">
        <v>1877</v>
      </c>
      <c r="E1225" s="5" t="s">
        <v>24</v>
      </c>
      <c r="F1225" s="5" t="s">
        <v>24</v>
      </c>
      <c r="G1225" s="25"/>
      <c r="H1225" s="10"/>
    </row>
    <row r="1226" spans="1:8" s="5" customFormat="1" x14ac:dyDescent="0.25">
      <c r="A1226" s="5" t="s">
        <v>1874</v>
      </c>
      <c r="B1226" s="5" t="s">
        <v>4315</v>
      </c>
      <c r="C1226" s="5" t="s">
        <v>4316</v>
      </c>
      <c r="D1226" s="5" t="s">
        <v>1877</v>
      </c>
      <c r="E1226" s="5" t="s">
        <v>24</v>
      </c>
      <c r="F1226" s="5" t="s">
        <v>24</v>
      </c>
      <c r="G1226" s="25"/>
      <c r="H1226" s="10"/>
    </row>
    <row r="1227" spans="1:8" s="5" customFormat="1" x14ac:dyDescent="0.25">
      <c r="A1227" s="5" t="s">
        <v>1874</v>
      </c>
      <c r="B1227" s="5" t="s">
        <v>4317</v>
      </c>
      <c r="C1227" s="5" t="s">
        <v>4318</v>
      </c>
      <c r="D1227" s="5" t="s">
        <v>1877</v>
      </c>
      <c r="E1227" s="5" t="s">
        <v>195</v>
      </c>
      <c r="F1227" s="5" t="s">
        <v>24</v>
      </c>
      <c r="G1227" s="25"/>
      <c r="H1227" s="10"/>
    </row>
    <row r="1228" spans="1:8" s="5" customFormat="1" x14ac:dyDescent="0.25">
      <c r="A1228" s="5" t="s">
        <v>1874</v>
      </c>
      <c r="B1228" s="5" t="s">
        <v>4319</v>
      </c>
      <c r="C1228" s="5" t="s">
        <v>4320</v>
      </c>
      <c r="D1228" s="5" t="s">
        <v>1877</v>
      </c>
      <c r="E1228" s="5" t="s">
        <v>195</v>
      </c>
      <c r="F1228" s="5" t="s">
        <v>24</v>
      </c>
      <c r="G1228" s="25"/>
      <c r="H1228" s="10"/>
    </row>
    <row r="1229" spans="1:8" s="5" customFormat="1" x14ac:dyDescent="0.25">
      <c r="A1229" s="5" t="s">
        <v>1874</v>
      </c>
      <c r="B1229" s="5" t="s">
        <v>4321</v>
      </c>
      <c r="C1229" s="5" t="s">
        <v>4322</v>
      </c>
      <c r="D1229" s="5" t="s">
        <v>1877</v>
      </c>
      <c r="E1229" s="5" t="s">
        <v>24</v>
      </c>
      <c r="F1229" s="5" t="s">
        <v>24</v>
      </c>
      <c r="G1229" s="25"/>
      <c r="H1229" s="10"/>
    </row>
    <row r="1230" spans="1:8" s="5" customFormat="1" x14ac:dyDescent="0.25">
      <c r="A1230" s="5" t="s">
        <v>1874</v>
      </c>
      <c r="B1230" s="5" t="s">
        <v>4323</v>
      </c>
      <c r="C1230" s="5" t="s">
        <v>4324</v>
      </c>
      <c r="D1230" s="5" t="s">
        <v>1877</v>
      </c>
      <c r="E1230" s="5" t="s">
        <v>195</v>
      </c>
      <c r="F1230" s="5" t="s">
        <v>24</v>
      </c>
      <c r="G1230" s="25"/>
      <c r="H1230" s="10"/>
    </row>
    <row r="1231" spans="1:8" s="5" customFormat="1" x14ac:dyDescent="0.25">
      <c r="A1231" s="5" t="s">
        <v>1874</v>
      </c>
      <c r="B1231" s="5" t="s">
        <v>4325</v>
      </c>
      <c r="C1231" s="5" t="s">
        <v>4326</v>
      </c>
      <c r="D1231" s="5" t="s">
        <v>1877</v>
      </c>
      <c r="E1231" s="5" t="s">
        <v>195</v>
      </c>
      <c r="F1231" s="5" t="s">
        <v>24</v>
      </c>
      <c r="G1231" s="25"/>
      <c r="H1231" s="10"/>
    </row>
    <row r="1232" spans="1:8" s="5" customFormat="1" x14ac:dyDescent="0.25">
      <c r="A1232" s="5" t="s">
        <v>1874</v>
      </c>
      <c r="B1232" s="5" t="s">
        <v>4327</v>
      </c>
      <c r="C1232" s="5" t="s">
        <v>4328</v>
      </c>
      <c r="D1232" s="5" t="s">
        <v>1877</v>
      </c>
      <c r="E1232" s="5" t="s">
        <v>24</v>
      </c>
      <c r="F1232" s="5" t="s">
        <v>24</v>
      </c>
      <c r="G1232" s="25">
        <v>20</v>
      </c>
      <c r="H1232" s="10"/>
    </row>
    <row r="1233" spans="1:16" s="5" customFormat="1" x14ac:dyDescent="0.25">
      <c r="A1233" s="5" t="s">
        <v>1874</v>
      </c>
      <c r="B1233" s="5" t="s">
        <v>4329</v>
      </c>
      <c r="C1233" s="5" t="s">
        <v>4330</v>
      </c>
      <c r="D1233" s="5" t="s">
        <v>1877</v>
      </c>
      <c r="E1233" s="5" t="s">
        <v>24</v>
      </c>
      <c r="F1233" s="5" t="s">
        <v>24</v>
      </c>
      <c r="G1233" s="25">
        <v>30</v>
      </c>
      <c r="H1233" s="10"/>
    </row>
    <row r="1234" spans="1:16" s="5" customFormat="1" x14ac:dyDescent="0.25">
      <c r="A1234" s="5" t="s">
        <v>1874</v>
      </c>
      <c r="B1234" s="5" t="s">
        <v>4331</v>
      </c>
      <c r="C1234" s="5" t="s">
        <v>4332</v>
      </c>
      <c r="D1234" s="5" t="s">
        <v>1877</v>
      </c>
      <c r="E1234" s="5" t="s">
        <v>24</v>
      </c>
      <c r="F1234" s="5" t="s">
        <v>24</v>
      </c>
      <c r="G1234" s="25">
        <v>30</v>
      </c>
      <c r="H1234" s="10"/>
    </row>
    <row r="1235" spans="1:16" s="5" customFormat="1" x14ac:dyDescent="0.25">
      <c r="A1235" s="5" t="s">
        <v>1874</v>
      </c>
      <c r="B1235" s="5" t="s">
        <v>4333</v>
      </c>
      <c r="C1235" s="5" t="s">
        <v>4334</v>
      </c>
      <c r="D1235" s="5" t="s">
        <v>1877</v>
      </c>
      <c r="E1235" s="5" t="s">
        <v>24</v>
      </c>
      <c r="F1235" s="5" t="s">
        <v>24</v>
      </c>
      <c r="G1235" s="25">
        <v>100</v>
      </c>
      <c r="H1235" s="10"/>
    </row>
    <row r="1236" spans="1:16" s="5" customFormat="1" x14ac:dyDescent="0.25">
      <c r="A1236" s="5" t="s">
        <v>1874</v>
      </c>
      <c r="B1236" s="5" t="s">
        <v>4335</v>
      </c>
      <c r="C1236" s="5" t="s">
        <v>4336</v>
      </c>
      <c r="D1236" s="5" t="s">
        <v>1877</v>
      </c>
      <c r="E1236" s="5" t="s">
        <v>24</v>
      </c>
      <c r="F1236" s="5" t="s">
        <v>24</v>
      </c>
      <c r="G1236" s="25">
        <v>30</v>
      </c>
      <c r="H1236" s="10"/>
    </row>
    <row r="1237" spans="1:16" s="5" customFormat="1" x14ac:dyDescent="0.25">
      <c r="A1237" s="5" t="s">
        <v>1874</v>
      </c>
      <c r="B1237" s="5" t="s">
        <v>4337</v>
      </c>
      <c r="C1237" s="5" t="s">
        <v>4338</v>
      </c>
      <c r="D1237" s="5" t="s">
        <v>1877</v>
      </c>
      <c r="E1237" s="5" t="s">
        <v>24</v>
      </c>
      <c r="F1237" s="5" t="s">
        <v>24</v>
      </c>
      <c r="G1237" s="25">
        <v>100</v>
      </c>
      <c r="H1237" s="10"/>
    </row>
    <row r="1238" spans="1:16" s="5" customFormat="1" ht="15" customHeight="1" x14ac:dyDescent="0.25">
      <c r="A1238" s="5" t="s">
        <v>1874</v>
      </c>
      <c r="B1238" s="5" t="s">
        <v>4339</v>
      </c>
      <c r="C1238" s="5" t="s">
        <v>4340</v>
      </c>
      <c r="D1238" s="5" t="s">
        <v>1877</v>
      </c>
      <c r="E1238" s="5" t="s">
        <v>195</v>
      </c>
      <c r="F1238" s="5" t="s">
        <v>24</v>
      </c>
      <c r="G1238" s="25"/>
      <c r="H1238" s="10"/>
    </row>
    <row r="1239" spans="1:16" s="5" customFormat="1" x14ac:dyDescent="0.25">
      <c r="A1239" s="5" t="s">
        <v>1874</v>
      </c>
      <c r="B1239" s="5" t="s">
        <v>4341</v>
      </c>
      <c r="C1239" s="5" t="s">
        <v>4342</v>
      </c>
      <c r="D1239" s="5" t="s">
        <v>1877</v>
      </c>
      <c r="E1239" s="5" t="s">
        <v>195</v>
      </c>
      <c r="F1239" s="5" t="s">
        <v>24</v>
      </c>
      <c r="G1239" s="25"/>
      <c r="H1239" s="10"/>
    </row>
    <row r="1240" spans="1:16" s="5" customFormat="1" x14ac:dyDescent="0.25">
      <c r="A1240" s="5" t="s">
        <v>1874</v>
      </c>
      <c r="B1240" s="5" t="s">
        <v>4343</v>
      </c>
      <c r="C1240" s="5" t="s">
        <v>4344</v>
      </c>
      <c r="D1240" s="5" t="s">
        <v>1877</v>
      </c>
      <c r="E1240" s="5" t="s">
        <v>24</v>
      </c>
      <c r="F1240" s="5" t="s">
        <v>24</v>
      </c>
      <c r="G1240" s="25"/>
      <c r="H1240" s="10"/>
    </row>
    <row r="1241" spans="1:16" s="5" customFormat="1" x14ac:dyDescent="0.25">
      <c r="A1241" s="5" t="s">
        <v>1874</v>
      </c>
      <c r="B1241" s="5" t="s">
        <v>4345</v>
      </c>
      <c r="C1241" s="5" t="s">
        <v>4346</v>
      </c>
      <c r="D1241" s="5" t="s">
        <v>1877</v>
      </c>
      <c r="E1241" s="5" t="s">
        <v>195</v>
      </c>
      <c r="F1241" s="5" t="s">
        <v>24</v>
      </c>
      <c r="G1241" s="25"/>
      <c r="H1241" s="10"/>
    </row>
    <row r="1242" spans="1:16" s="5" customFormat="1" ht="30" x14ac:dyDescent="0.25">
      <c r="A1242" s="5" t="s">
        <v>1878</v>
      </c>
      <c r="B1242" s="5" t="s">
        <v>4347</v>
      </c>
      <c r="C1242" s="5" t="s">
        <v>4348</v>
      </c>
      <c r="D1242" s="5" t="s">
        <v>1881</v>
      </c>
      <c r="E1242" s="5" t="s">
        <v>24</v>
      </c>
      <c r="F1242" s="5" t="s">
        <v>24</v>
      </c>
      <c r="G1242" s="25"/>
      <c r="H1242" s="10"/>
    </row>
    <row r="1243" spans="1:16" s="5" customFormat="1" x14ac:dyDescent="0.25">
      <c r="A1243" s="5" t="s">
        <v>1874</v>
      </c>
      <c r="B1243" s="5" t="s">
        <v>4349</v>
      </c>
      <c r="C1243" s="5" t="s">
        <v>4350</v>
      </c>
      <c r="D1243" s="5" t="s">
        <v>1877</v>
      </c>
      <c r="E1243" s="5" t="s">
        <v>24</v>
      </c>
      <c r="F1243" s="5" t="s">
        <v>24</v>
      </c>
      <c r="G1243" s="25">
        <v>100</v>
      </c>
      <c r="H1243" s="10"/>
    </row>
    <row r="1244" spans="1:16" s="5" customFormat="1" x14ac:dyDescent="0.25">
      <c r="A1244" s="5" t="s">
        <v>1914</v>
      </c>
      <c r="B1244" s="5" t="s">
        <v>4351</v>
      </c>
      <c r="C1244" s="5" t="s">
        <v>4352</v>
      </c>
      <c r="D1244" s="5" t="s">
        <v>1917</v>
      </c>
      <c r="E1244" s="5" t="s">
        <v>24</v>
      </c>
      <c r="F1244" s="5" t="s">
        <v>24</v>
      </c>
      <c r="G1244" s="25">
        <v>100</v>
      </c>
      <c r="H1244" s="10" t="str">
        <f>HYPERLINK("https://doc.morningstar.com/Document/7f5acde2d2e3c1c3be105306dd2e1672.msdoc?clientid=fnz&amp;key=9c0e4d166b60ffd3","TMD")</f>
        <v>TMD</v>
      </c>
      <c r="I1244" s="5" t="s">
        <v>25</v>
      </c>
      <c r="J1244" s="5" t="s">
        <v>25</v>
      </c>
      <c r="K1244" s="5" t="s">
        <v>25</v>
      </c>
      <c r="L1244" s="5" t="s">
        <v>25</v>
      </c>
      <c r="M1244" s="5" t="s">
        <v>26</v>
      </c>
      <c r="N1244" s="5" t="s">
        <v>26</v>
      </c>
      <c r="O1244" s="5" t="s">
        <v>27</v>
      </c>
      <c r="P1244" s="5" t="s">
        <v>27</v>
      </c>
    </row>
    <row r="1245" spans="1:16" s="5" customFormat="1" x14ac:dyDescent="0.25">
      <c r="A1245" s="5" t="s">
        <v>1874</v>
      </c>
      <c r="B1245" s="5" t="s">
        <v>4353</v>
      </c>
      <c r="C1245" s="5" t="s">
        <v>4354</v>
      </c>
      <c r="D1245" s="5" t="s">
        <v>1877</v>
      </c>
      <c r="E1245" s="5" t="s">
        <v>24</v>
      </c>
      <c r="F1245" s="5" t="s">
        <v>24</v>
      </c>
      <c r="G1245" s="25"/>
      <c r="H1245" s="10"/>
    </row>
    <row r="1246" spans="1:16" s="5" customFormat="1" x14ac:dyDescent="0.25">
      <c r="A1246" s="5" t="s">
        <v>1874</v>
      </c>
      <c r="B1246" s="5" t="s">
        <v>4355</v>
      </c>
      <c r="C1246" s="5" t="s">
        <v>4356</v>
      </c>
      <c r="D1246" s="5" t="s">
        <v>1877</v>
      </c>
      <c r="E1246" s="5" t="s">
        <v>195</v>
      </c>
      <c r="F1246" s="5" t="s">
        <v>24</v>
      </c>
      <c r="G1246" s="25"/>
      <c r="H1246" s="10"/>
    </row>
    <row r="1247" spans="1:16" s="5" customFormat="1" x14ac:dyDescent="0.25">
      <c r="A1247" s="5" t="s">
        <v>1874</v>
      </c>
      <c r="B1247" s="5" t="s">
        <v>4357</v>
      </c>
      <c r="C1247" s="5" t="s">
        <v>4358</v>
      </c>
      <c r="D1247" s="5" t="s">
        <v>1877</v>
      </c>
      <c r="E1247" s="5" t="s">
        <v>24</v>
      </c>
      <c r="F1247" s="5" t="s">
        <v>24</v>
      </c>
      <c r="G1247" s="25"/>
      <c r="H1247" s="10"/>
    </row>
    <row r="1248" spans="1:16" s="5" customFormat="1" x14ac:dyDescent="0.25">
      <c r="A1248" s="5" t="s">
        <v>1874</v>
      </c>
      <c r="B1248" s="5" t="s">
        <v>4359</v>
      </c>
      <c r="C1248" s="5" t="s">
        <v>4360</v>
      </c>
      <c r="D1248" s="5" t="s">
        <v>1877</v>
      </c>
      <c r="E1248" s="5" t="s">
        <v>195</v>
      </c>
      <c r="F1248" s="5" t="s">
        <v>24</v>
      </c>
      <c r="G1248" s="25"/>
      <c r="H1248" s="10"/>
    </row>
    <row r="1249" spans="1:8" s="5" customFormat="1" x14ac:dyDescent="0.25">
      <c r="A1249" s="5" t="s">
        <v>1874</v>
      </c>
      <c r="B1249" s="5" t="s">
        <v>4361</v>
      </c>
      <c r="C1249" s="5" t="s">
        <v>4362</v>
      </c>
      <c r="D1249" s="5" t="s">
        <v>1877</v>
      </c>
      <c r="E1249" s="5" t="s">
        <v>195</v>
      </c>
      <c r="F1249" s="5" t="s">
        <v>24</v>
      </c>
      <c r="G1249" s="25"/>
      <c r="H1249" s="10"/>
    </row>
    <row r="1250" spans="1:8" s="5" customFormat="1" x14ac:dyDescent="0.25">
      <c r="A1250" s="5" t="s">
        <v>1874</v>
      </c>
      <c r="B1250" s="5" t="s">
        <v>4363</v>
      </c>
      <c r="C1250" s="5" t="s">
        <v>4364</v>
      </c>
      <c r="D1250" s="5" t="s">
        <v>1877</v>
      </c>
      <c r="E1250" s="5" t="s">
        <v>24</v>
      </c>
      <c r="F1250" s="5" t="s">
        <v>24</v>
      </c>
      <c r="G1250" s="25"/>
      <c r="H1250" s="10"/>
    </row>
    <row r="1251" spans="1:8" s="5" customFormat="1" x14ac:dyDescent="0.25">
      <c r="A1251" s="5" t="s">
        <v>1874</v>
      </c>
      <c r="B1251" s="5" t="s">
        <v>4365</v>
      </c>
      <c r="C1251" s="5" t="s">
        <v>4366</v>
      </c>
      <c r="D1251" s="5" t="s">
        <v>1877</v>
      </c>
      <c r="E1251" s="5" t="s">
        <v>24</v>
      </c>
      <c r="F1251" s="5" t="s">
        <v>24</v>
      </c>
      <c r="G1251" s="25"/>
      <c r="H1251" s="10"/>
    </row>
    <row r="1252" spans="1:8" s="5" customFormat="1" x14ac:dyDescent="0.25">
      <c r="A1252" s="5" t="s">
        <v>1874</v>
      </c>
      <c r="B1252" s="5" t="s">
        <v>4367</v>
      </c>
      <c r="C1252" s="5" t="s">
        <v>4368</v>
      </c>
      <c r="D1252" s="5" t="s">
        <v>1877</v>
      </c>
      <c r="E1252" s="5" t="s">
        <v>24</v>
      </c>
      <c r="F1252" s="5" t="s">
        <v>24</v>
      </c>
      <c r="G1252" s="25"/>
      <c r="H1252" s="10"/>
    </row>
    <row r="1253" spans="1:8" s="5" customFormat="1" x14ac:dyDescent="0.25">
      <c r="A1253" s="5" t="s">
        <v>1988</v>
      </c>
      <c r="B1253" s="5" t="s">
        <v>4369</v>
      </c>
      <c r="C1253" s="5" t="s">
        <v>4370</v>
      </c>
      <c r="D1253" s="5" t="s">
        <v>1991</v>
      </c>
      <c r="E1253" s="5" t="s">
        <v>24</v>
      </c>
      <c r="F1253" s="5" t="s">
        <v>24</v>
      </c>
      <c r="G1253" s="25">
        <v>20</v>
      </c>
      <c r="H1253" s="10"/>
    </row>
    <row r="1254" spans="1:8" s="5" customFormat="1" x14ac:dyDescent="0.25">
      <c r="A1254" s="5" t="s">
        <v>1874</v>
      </c>
      <c r="B1254" s="5" t="s">
        <v>4371</v>
      </c>
      <c r="C1254" s="5" t="s">
        <v>4372</v>
      </c>
      <c r="D1254" s="5" t="s">
        <v>1877</v>
      </c>
      <c r="E1254" s="5" t="s">
        <v>24</v>
      </c>
      <c r="F1254" s="5" t="s">
        <v>24</v>
      </c>
      <c r="G1254" s="25"/>
      <c r="H1254" s="10"/>
    </row>
    <row r="1255" spans="1:8" s="5" customFormat="1" x14ac:dyDescent="0.25">
      <c r="A1255" s="5" t="s">
        <v>1874</v>
      </c>
      <c r="B1255" s="5" t="s">
        <v>4373</v>
      </c>
      <c r="C1255" s="5" t="s">
        <v>4374</v>
      </c>
      <c r="D1255" s="5" t="s">
        <v>2228</v>
      </c>
      <c r="E1255" s="5" t="s">
        <v>24</v>
      </c>
      <c r="F1255" s="5" t="s">
        <v>24</v>
      </c>
      <c r="G1255" s="25"/>
      <c r="H1255" s="10"/>
    </row>
    <row r="1256" spans="1:8" s="5" customFormat="1" x14ac:dyDescent="0.25">
      <c r="A1256" s="5" t="s">
        <v>1988</v>
      </c>
      <c r="B1256" s="5" t="s">
        <v>4375</v>
      </c>
      <c r="C1256" s="5" t="s">
        <v>4376</v>
      </c>
      <c r="D1256" s="5" t="s">
        <v>1991</v>
      </c>
      <c r="E1256" s="5" t="s">
        <v>24</v>
      </c>
      <c r="F1256" s="5" t="s">
        <v>24</v>
      </c>
      <c r="G1256" s="25">
        <v>20</v>
      </c>
      <c r="H1256" s="10"/>
    </row>
    <row r="1257" spans="1:8" s="5" customFormat="1" x14ac:dyDescent="0.25">
      <c r="A1257" s="5" t="s">
        <v>1874</v>
      </c>
      <c r="B1257" s="5" t="s">
        <v>4377</v>
      </c>
      <c r="C1257" s="5" t="s">
        <v>4378</v>
      </c>
      <c r="D1257" s="5" t="s">
        <v>2228</v>
      </c>
      <c r="E1257" s="5" t="s">
        <v>24</v>
      </c>
      <c r="F1257" s="5" t="s">
        <v>24</v>
      </c>
      <c r="G1257" s="25">
        <v>20</v>
      </c>
      <c r="H1257" s="10"/>
    </row>
    <row r="1258" spans="1:8" s="5" customFormat="1" x14ac:dyDescent="0.25">
      <c r="A1258" s="5" t="s">
        <v>1874</v>
      </c>
      <c r="B1258" s="5" t="s">
        <v>4379</v>
      </c>
      <c r="C1258" s="5" t="s">
        <v>4380</v>
      </c>
      <c r="D1258" s="5" t="s">
        <v>2228</v>
      </c>
      <c r="E1258" s="5" t="s">
        <v>24</v>
      </c>
      <c r="F1258" s="5" t="s">
        <v>24</v>
      </c>
      <c r="G1258" s="25"/>
      <c r="H1258" s="10"/>
    </row>
    <row r="1259" spans="1:8" s="5" customFormat="1" x14ac:dyDescent="0.25">
      <c r="A1259" s="5" t="s">
        <v>1874</v>
      </c>
      <c r="B1259" s="5" t="s">
        <v>4381</v>
      </c>
      <c r="C1259" s="5" t="s">
        <v>4382</v>
      </c>
      <c r="D1259" s="5" t="s">
        <v>1877</v>
      </c>
      <c r="E1259" s="5" t="s">
        <v>195</v>
      </c>
      <c r="F1259" s="5" t="s">
        <v>24</v>
      </c>
      <c r="G1259" s="25"/>
      <c r="H1259" s="10"/>
    </row>
    <row r="1260" spans="1:8" s="5" customFormat="1" x14ac:dyDescent="0.25">
      <c r="A1260" s="5" t="s">
        <v>1874</v>
      </c>
      <c r="B1260" s="5" t="s">
        <v>4383</v>
      </c>
      <c r="C1260" s="5" t="s">
        <v>4384</v>
      </c>
      <c r="D1260" s="5" t="s">
        <v>1877</v>
      </c>
      <c r="E1260" s="5" t="s">
        <v>24</v>
      </c>
      <c r="F1260" s="5" t="s">
        <v>24</v>
      </c>
      <c r="G1260" s="25">
        <v>5</v>
      </c>
      <c r="H1260" s="10"/>
    </row>
    <row r="1261" spans="1:8" s="5" customFormat="1" x14ac:dyDescent="0.25">
      <c r="A1261" s="5" t="s">
        <v>1874</v>
      </c>
      <c r="B1261" s="5" t="s">
        <v>4385</v>
      </c>
      <c r="C1261" s="5" t="s">
        <v>4386</v>
      </c>
      <c r="D1261" s="5" t="s">
        <v>1877</v>
      </c>
      <c r="E1261" s="5" t="s">
        <v>24</v>
      </c>
      <c r="F1261" s="5" t="s">
        <v>24</v>
      </c>
      <c r="G1261" s="25"/>
      <c r="H1261" s="10"/>
    </row>
    <row r="1262" spans="1:8" s="5" customFormat="1" x14ac:dyDescent="0.25">
      <c r="A1262" s="5" t="s">
        <v>1874</v>
      </c>
      <c r="B1262" s="5" t="s">
        <v>4387</v>
      </c>
      <c r="C1262" s="5" t="s">
        <v>4388</v>
      </c>
      <c r="D1262" s="5" t="s">
        <v>1877</v>
      </c>
      <c r="E1262" s="5" t="s">
        <v>195</v>
      </c>
      <c r="F1262" s="5" t="s">
        <v>24</v>
      </c>
      <c r="G1262" s="25"/>
      <c r="H1262" s="10"/>
    </row>
    <row r="1263" spans="1:8" s="5" customFormat="1" x14ac:dyDescent="0.25">
      <c r="A1263" s="5" t="s">
        <v>1874</v>
      </c>
      <c r="B1263" s="5" t="s">
        <v>4389</v>
      </c>
      <c r="C1263" s="5" t="s">
        <v>4390</v>
      </c>
      <c r="D1263" s="5" t="s">
        <v>1877</v>
      </c>
      <c r="E1263" s="5" t="s">
        <v>195</v>
      </c>
      <c r="F1263" s="5" t="s">
        <v>24</v>
      </c>
      <c r="G1263" s="25"/>
      <c r="H1263" s="10"/>
    </row>
    <row r="1264" spans="1:8" s="5" customFormat="1" x14ac:dyDescent="0.25">
      <c r="A1264" s="5" t="s">
        <v>1874</v>
      </c>
      <c r="B1264" s="5" t="s">
        <v>4391</v>
      </c>
      <c r="C1264" s="5" t="s">
        <v>4392</v>
      </c>
      <c r="D1264" s="5" t="s">
        <v>1877</v>
      </c>
      <c r="E1264" s="5" t="s">
        <v>195</v>
      </c>
      <c r="F1264" s="5" t="s">
        <v>24</v>
      </c>
      <c r="G1264" s="25"/>
      <c r="H1264" s="10"/>
    </row>
    <row r="1265" spans="1:8" s="5" customFormat="1" x14ac:dyDescent="0.25">
      <c r="A1265" s="5" t="s">
        <v>1874</v>
      </c>
      <c r="B1265" s="5" t="s">
        <v>4393</v>
      </c>
      <c r="C1265" s="5" t="s">
        <v>4394</v>
      </c>
      <c r="D1265" s="5" t="s">
        <v>1877</v>
      </c>
      <c r="E1265" s="5" t="s">
        <v>195</v>
      </c>
      <c r="F1265" s="5" t="s">
        <v>24</v>
      </c>
      <c r="G1265" s="25"/>
      <c r="H1265" s="10"/>
    </row>
    <row r="1266" spans="1:8" s="5" customFormat="1" x14ac:dyDescent="0.25">
      <c r="A1266" s="5" t="s">
        <v>1874</v>
      </c>
      <c r="B1266" s="5" t="s">
        <v>4395</v>
      </c>
      <c r="C1266" s="5" t="s">
        <v>4396</v>
      </c>
      <c r="D1266" s="5" t="s">
        <v>1877</v>
      </c>
      <c r="E1266" s="5" t="s">
        <v>24</v>
      </c>
      <c r="F1266" s="5" t="s">
        <v>24</v>
      </c>
      <c r="G1266" s="25"/>
      <c r="H1266" s="10"/>
    </row>
    <row r="1267" spans="1:8" s="5" customFormat="1" x14ac:dyDescent="0.25">
      <c r="A1267" s="5" t="s">
        <v>1874</v>
      </c>
      <c r="B1267" s="5" t="s">
        <v>4397</v>
      </c>
      <c r="C1267" s="5" t="s">
        <v>4398</v>
      </c>
      <c r="D1267" s="5" t="s">
        <v>1877</v>
      </c>
      <c r="E1267" s="5" t="s">
        <v>195</v>
      </c>
      <c r="F1267" s="5" t="s">
        <v>24</v>
      </c>
      <c r="G1267" s="25"/>
      <c r="H1267" s="10"/>
    </row>
    <row r="1268" spans="1:8" s="5" customFormat="1" x14ac:dyDescent="0.25">
      <c r="A1268" s="5" t="s">
        <v>1874</v>
      </c>
      <c r="B1268" s="5" t="s">
        <v>4399</v>
      </c>
      <c r="C1268" s="5" t="s">
        <v>4400</v>
      </c>
      <c r="D1268" s="5" t="s">
        <v>1877</v>
      </c>
      <c r="E1268" s="5" t="s">
        <v>24</v>
      </c>
      <c r="F1268" s="5" t="s">
        <v>24</v>
      </c>
      <c r="G1268" s="25"/>
      <c r="H1268" s="10"/>
    </row>
    <row r="1269" spans="1:8" s="5" customFormat="1" x14ac:dyDescent="0.25">
      <c r="A1269" s="5" t="s">
        <v>1874</v>
      </c>
      <c r="B1269" s="5" t="s">
        <v>4401</v>
      </c>
      <c r="C1269" s="5" t="s">
        <v>4402</v>
      </c>
      <c r="D1269" s="5" t="s">
        <v>1877</v>
      </c>
      <c r="E1269" s="5" t="s">
        <v>24</v>
      </c>
      <c r="F1269" s="5" t="s">
        <v>24</v>
      </c>
      <c r="G1269" s="25"/>
      <c r="H1269" s="10"/>
    </row>
    <row r="1270" spans="1:8" s="5" customFormat="1" x14ac:dyDescent="0.25">
      <c r="A1270" s="5" t="s">
        <v>1874</v>
      </c>
      <c r="B1270" s="5" t="s">
        <v>4403</v>
      </c>
      <c r="C1270" s="5" t="s">
        <v>4404</v>
      </c>
      <c r="D1270" s="5" t="s">
        <v>1877</v>
      </c>
      <c r="E1270" s="5" t="s">
        <v>24</v>
      </c>
      <c r="F1270" s="5" t="s">
        <v>24</v>
      </c>
      <c r="G1270" s="25"/>
      <c r="H1270" s="10"/>
    </row>
    <row r="1271" spans="1:8" s="5" customFormat="1" x14ac:dyDescent="0.25">
      <c r="A1271" s="5" t="s">
        <v>1874</v>
      </c>
      <c r="B1271" s="5" t="s">
        <v>4405</v>
      </c>
      <c r="C1271" s="5" t="s">
        <v>4406</v>
      </c>
      <c r="D1271" s="5" t="s">
        <v>2030</v>
      </c>
      <c r="E1271" s="5" t="s">
        <v>195</v>
      </c>
      <c r="F1271" s="5" t="s">
        <v>24</v>
      </c>
      <c r="G1271" s="25"/>
      <c r="H1271" s="10"/>
    </row>
    <row r="1272" spans="1:8" s="5" customFormat="1" x14ac:dyDescent="0.25">
      <c r="A1272" s="5" t="s">
        <v>1874</v>
      </c>
      <c r="B1272" s="5" t="s">
        <v>4407</v>
      </c>
      <c r="C1272" s="5" t="s">
        <v>4408</v>
      </c>
      <c r="D1272" s="5" t="s">
        <v>1877</v>
      </c>
      <c r="E1272" s="5" t="s">
        <v>24</v>
      </c>
      <c r="F1272" s="5" t="s">
        <v>24</v>
      </c>
      <c r="G1272" s="25"/>
      <c r="H1272" s="10"/>
    </row>
    <row r="1273" spans="1:8" s="5" customFormat="1" x14ac:dyDescent="0.25">
      <c r="A1273" s="5" t="s">
        <v>1874</v>
      </c>
      <c r="B1273" s="5" t="s">
        <v>4409</v>
      </c>
      <c r="C1273" s="5" t="s">
        <v>4410</v>
      </c>
      <c r="D1273" s="5" t="s">
        <v>1877</v>
      </c>
      <c r="E1273" s="5" t="s">
        <v>195</v>
      </c>
      <c r="F1273" s="5" t="s">
        <v>24</v>
      </c>
      <c r="G1273" s="25"/>
      <c r="H1273" s="10"/>
    </row>
    <row r="1274" spans="1:8" s="5" customFormat="1" x14ac:dyDescent="0.25">
      <c r="A1274" s="5" t="s">
        <v>1874</v>
      </c>
      <c r="B1274" s="5" t="s">
        <v>4411</v>
      </c>
      <c r="C1274" s="5" t="s">
        <v>4412</v>
      </c>
      <c r="D1274" s="5" t="s">
        <v>1877</v>
      </c>
      <c r="E1274" s="5" t="s">
        <v>24</v>
      </c>
      <c r="F1274" s="5" t="s">
        <v>24</v>
      </c>
      <c r="G1274" s="25"/>
      <c r="H1274" s="10"/>
    </row>
    <row r="1275" spans="1:8" s="5" customFormat="1" x14ac:dyDescent="0.25">
      <c r="A1275" s="5" t="s">
        <v>1874</v>
      </c>
      <c r="B1275" s="5" t="s">
        <v>4413</v>
      </c>
      <c r="C1275" s="5" t="s">
        <v>4414</v>
      </c>
      <c r="D1275" s="5" t="s">
        <v>1877</v>
      </c>
      <c r="E1275" s="5" t="s">
        <v>195</v>
      </c>
      <c r="F1275" s="5" t="s">
        <v>24</v>
      </c>
      <c r="G1275" s="25"/>
      <c r="H1275" s="10"/>
    </row>
    <row r="1276" spans="1:8" s="5" customFormat="1" x14ac:dyDescent="0.25">
      <c r="A1276" s="5" t="s">
        <v>1874</v>
      </c>
      <c r="B1276" s="5" t="s">
        <v>4415</v>
      </c>
      <c r="C1276" s="5" t="s">
        <v>4416</v>
      </c>
      <c r="D1276" s="5" t="s">
        <v>1877</v>
      </c>
      <c r="E1276" s="5" t="s">
        <v>195</v>
      </c>
      <c r="F1276" s="5" t="s">
        <v>24</v>
      </c>
      <c r="G1276" s="25"/>
      <c r="H1276" s="10"/>
    </row>
    <row r="1277" spans="1:8" s="5" customFormat="1" x14ac:dyDescent="0.25">
      <c r="A1277" s="5" t="s">
        <v>1874</v>
      </c>
      <c r="B1277" s="5" t="s">
        <v>4417</v>
      </c>
      <c r="C1277" s="5" t="s">
        <v>4418</v>
      </c>
      <c r="D1277" s="5" t="s">
        <v>1877</v>
      </c>
      <c r="E1277" s="5" t="s">
        <v>195</v>
      </c>
      <c r="F1277" s="5" t="s">
        <v>24</v>
      </c>
      <c r="G1277" s="25"/>
      <c r="H1277" s="10"/>
    </row>
    <row r="1278" spans="1:8" s="5" customFormat="1" x14ac:dyDescent="0.25">
      <c r="A1278" s="5" t="s">
        <v>1874</v>
      </c>
      <c r="B1278" s="5" t="s">
        <v>4419</v>
      </c>
      <c r="C1278" s="5" t="s">
        <v>4420</v>
      </c>
      <c r="D1278" s="5" t="s">
        <v>1877</v>
      </c>
      <c r="E1278" s="5" t="s">
        <v>24</v>
      </c>
      <c r="F1278" s="5" t="s">
        <v>24</v>
      </c>
      <c r="G1278" s="25"/>
      <c r="H1278" s="10"/>
    </row>
    <row r="1279" spans="1:8" s="5" customFormat="1" x14ac:dyDescent="0.25">
      <c r="A1279" s="5" t="s">
        <v>1874</v>
      </c>
      <c r="B1279" s="5" t="s">
        <v>4411</v>
      </c>
      <c r="C1279" s="5" t="s">
        <v>4412</v>
      </c>
      <c r="D1279" s="5" t="s">
        <v>1877</v>
      </c>
      <c r="E1279" s="5" t="s">
        <v>24</v>
      </c>
      <c r="F1279" s="5" t="s">
        <v>24</v>
      </c>
      <c r="G1279" s="25"/>
      <c r="H1279" s="10"/>
    </row>
    <row r="1280" spans="1:8" s="5" customFormat="1" x14ac:dyDescent="0.25">
      <c r="A1280" s="5" t="s">
        <v>1874</v>
      </c>
      <c r="B1280" s="5" t="s">
        <v>4413</v>
      </c>
      <c r="C1280" s="5" t="s">
        <v>4414</v>
      </c>
      <c r="D1280" s="5" t="s">
        <v>1877</v>
      </c>
      <c r="E1280" s="5" t="s">
        <v>195</v>
      </c>
      <c r="F1280" s="5" t="s">
        <v>24</v>
      </c>
      <c r="G1280" s="25"/>
      <c r="H1280" s="10"/>
    </row>
    <row r="1281" spans="1:16" s="5" customFormat="1" x14ac:dyDescent="0.25">
      <c r="A1281" s="5" t="s">
        <v>1874</v>
      </c>
      <c r="B1281" s="5" t="s">
        <v>4415</v>
      </c>
      <c r="C1281" s="5" t="s">
        <v>4416</v>
      </c>
      <c r="D1281" s="5" t="s">
        <v>1877</v>
      </c>
      <c r="E1281" s="5" t="s">
        <v>195</v>
      </c>
      <c r="F1281" s="5" t="s">
        <v>24</v>
      </c>
      <c r="G1281" s="25"/>
      <c r="H1281" s="10"/>
    </row>
    <row r="1282" spans="1:16" s="5" customFormat="1" x14ac:dyDescent="0.25">
      <c r="A1282" s="5" t="s">
        <v>1874</v>
      </c>
      <c r="B1282" s="5" t="s">
        <v>4417</v>
      </c>
      <c r="C1282" s="5" t="s">
        <v>4418</v>
      </c>
      <c r="D1282" s="5" t="s">
        <v>1877</v>
      </c>
      <c r="E1282" s="5" t="s">
        <v>195</v>
      </c>
      <c r="F1282" s="5" t="s">
        <v>24</v>
      </c>
      <c r="G1282" s="25"/>
      <c r="H1282" s="10"/>
    </row>
    <row r="1283" spans="1:16" s="5" customFormat="1" x14ac:dyDescent="0.25">
      <c r="A1283" s="5" t="s">
        <v>1874</v>
      </c>
      <c r="B1283" s="5" t="s">
        <v>4419</v>
      </c>
      <c r="C1283" s="5" t="s">
        <v>4420</v>
      </c>
      <c r="D1283" s="5" t="s">
        <v>1877</v>
      </c>
      <c r="E1283" s="5" t="s">
        <v>24</v>
      </c>
      <c r="F1283" s="5" t="s">
        <v>24</v>
      </c>
      <c r="G1283" s="25"/>
      <c r="H1283" s="10"/>
    </row>
    <row r="1284" spans="1:16" s="5" customFormat="1" x14ac:dyDescent="0.25">
      <c r="G1284" s="16"/>
      <c r="H1284" s="10"/>
    </row>
    <row r="1285" spans="1:16" s="5" customFormat="1" x14ac:dyDescent="0.25">
      <c r="A1285" s="61" t="s">
        <v>4421</v>
      </c>
      <c r="B1285" s="61"/>
      <c r="C1285" s="61"/>
      <c r="D1285" s="61"/>
      <c r="E1285" s="61"/>
      <c r="F1285" s="61"/>
      <c r="G1285" s="61"/>
      <c r="H1285" s="61"/>
      <c r="I1285" s="61"/>
      <c r="J1285" s="61"/>
      <c r="K1285" s="61"/>
      <c r="L1285" s="61"/>
      <c r="M1285" s="61"/>
      <c r="N1285" s="61"/>
      <c r="O1285" s="61"/>
      <c r="P1285" s="61"/>
    </row>
    <row r="1286" spans="1:16" s="5" customFormat="1" x14ac:dyDescent="0.25">
      <c r="A1286" s="61" t="s">
        <v>4422</v>
      </c>
      <c r="B1286" s="61"/>
      <c r="C1286" s="61"/>
      <c r="D1286" s="61"/>
      <c r="E1286" s="61"/>
      <c r="F1286" s="61"/>
      <c r="G1286" s="61"/>
      <c r="H1286" s="61"/>
      <c r="I1286" s="61"/>
      <c r="J1286" s="61"/>
      <c r="K1286" s="61"/>
      <c r="L1286" s="61"/>
      <c r="M1286" s="61"/>
      <c r="N1286" s="61"/>
      <c r="O1286" s="61"/>
      <c r="P1286" s="61"/>
    </row>
    <row r="1287" spans="1:16" s="5" customFormat="1" ht="14.65" customHeight="1" x14ac:dyDescent="0.25">
      <c r="A1287" s="57" t="s">
        <v>4423</v>
      </c>
      <c r="B1287" s="57"/>
      <c r="C1287" s="57"/>
      <c r="D1287" s="57"/>
      <c r="E1287" s="57"/>
      <c r="F1287" s="57"/>
      <c r="G1287" s="57"/>
      <c r="H1287" s="57"/>
      <c r="I1287" s="57"/>
      <c r="J1287" s="57"/>
      <c r="K1287" s="57"/>
      <c r="L1287" s="57"/>
      <c r="M1287" s="57"/>
      <c r="N1287" s="57"/>
      <c r="O1287" s="57"/>
      <c r="P1287" s="57"/>
    </row>
    <row r="1288" spans="1:16" s="5" customFormat="1" x14ac:dyDescent="0.25">
      <c r="A1288" s="57" t="s">
        <v>4424</v>
      </c>
      <c r="B1288" s="57"/>
      <c r="C1288" s="57"/>
      <c r="D1288" s="57"/>
      <c r="E1288" s="57"/>
      <c r="F1288" s="57"/>
      <c r="G1288" s="57"/>
      <c r="H1288" s="57"/>
      <c r="I1288" s="57"/>
      <c r="J1288" s="57"/>
      <c r="K1288" s="57"/>
      <c r="L1288" s="57"/>
      <c r="M1288" s="57"/>
      <c r="N1288" s="57"/>
      <c r="O1288" s="57"/>
      <c r="P1288" s="57"/>
    </row>
    <row r="1289" spans="1:16" s="5" customFormat="1" ht="14.65" customHeight="1" x14ac:dyDescent="0.25">
      <c r="I1289" s="11"/>
    </row>
    <row r="1290" spans="1:16" s="5" customFormat="1" x14ac:dyDescent="0.25">
      <c r="A1290" s="61" t="s">
        <v>4425</v>
      </c>
      <c r="B1290" s="61"/>
      <c r="C1290" s="61"/>
      <c r="D1290" s="61"/>
      <c r="E1290" s="61"/>
      <c r="F1290" s="61"/>
      <c r="G1290" s="61"/>
      <c r="H1290" s="61"/>
      <c r="I1290" s="61"/>
      <c r="J1290" s="61"/>
      <c r="K1290" s="61"/>
      <c r="L1290" s="61"/>
      <c r="M1290" s="61"/>
      <c r="N1290" s="61"/>
      <c r="O1290" s="61"/>
      <c r="P1290" s="61"/>
    </row>
    <row r="1291" spans="1:16" s="5" customFormat="1" x14ac:dyDescent="0.25">
      <c r="A1291" s="61" t="s">
        <v>4422</v>
      </c>
      <c r="B1291" s="61"/>
      <c r="C1291" s="61"/>
      <c r="D1291" s="61"/>
      <c r="E1291" s="61"/>
      <c r="F1291" s="61"/>
      <c r="G1291" s="61"/>
      <c r="H1291" s="61"/>
      <c r="I1291" s="61"/>
      <c r="J1291" s="61"/>
      <c r="K1291" s="61"/>
      <c r="L1291" s="61"/>
      <c r="M1291" s="61"/>
      <c r="N1291" s="61"/>
      <c r="O1291" s="61"/>
      <c r="P1291" s="61"/>
    </row>
    <row r="1292" spans="1:16" s="5" customFormat="1" x14ac:dyDescent="0.25">
      <c r="A1292" s="57" t="s">
        <v>4423</v>
      </c>
      <c r="B1292" s="57"/>
      <c r="C1292" s="57"/>
      <c r="D1292" s="57"/>
      <c r="E1292" s="57"/>
      <c r="F1292" s="57"/>
      <c r="G1292" s="57"/>
      <c r="H1292" s="57"/>
      <c r="I1292" s="57"/>
      <c r="J1292" s="57"/>
      <c r="K1292" s="57"/>
      <c r="L1292" s="57"/>
      <c r="M1292" s="57"/>
      <c r="N1292" s="57"/>
      <c r="O1292" s="57"/>
      <c r="P1292" s="57"/>
    </row>
    <row r="1293" spans="1:16" s="5" customFormat="1" x14ac:dyDescent="0.25">
      <c r="A1293" s="57" t="s">
        <v>4424</v>
      </c>
      <c r="B1293" s="57"/>
      <c r="C1293" s="57"/>
      <c r="D1293" s="57"/>
      <c r="E1293" s="57"/>
      <c r="F1293" s="57"/>
      <c r="G1293" s="57"/>
      <c r="H1293" s="57"/>
      <c r="I1293" s="57"/>
      <c r="J1293" s="57"/>
      <c r="K1293" s="57"/>
      <c r="L1293" s="57"/>
      <c r="M1293" s="57"/>
      <c r="N1293" s="57"/>
      <c r="O1293" s="57"/>
      <c r="P1293" s="57"/>
    </row>
    <row r="1294" spans="1:16" s="5" customFormat="1" x14ac:dyDescent="0.25">
      <c r="I1294" s="11"/>
    </row>
    <row r="1295" spans="1:16" s="5" customFormat="1" x14ac:dyDescent="0.25">
      <c r="A1295" s="61" t="s">
        <v>1502</v>
      </c>
      <c r="I1295" s="11"/>
    </row>
    <row r="1296" spans="1:16" s="5" customFormat="1" x14ac:dyDescent="0.25">
      <c r="A1296" s="57" t="s">
        <v>1505</v>
      </c>
      <c r="B1296" s="57"/>
      <c r="C1296" s="57"/>
      <c r="D1296" s="57"/>
      <c r="E1296" s="57"/>
      <c r="F1296" s="57"/>
      <c r="G1296" s="57"/>
      <c r="H1296" s="57"/>
      <c r="I1296" s="57"/>
      <c r="J1296" s="57"/>
      <c r="K1296" s="57"/>
      <c r="L1296" s="57"/>
      <c r="M1296" s="57"/>
      <c r="N1296" s="57"/>
      <c r="O1296" s="57"/>
      <c r="P1296" s="57"/>
    </row>
    <row r="1297" spans="1:19" s="5" customFormat="1" x14ac:dyDescent="0.25">
      <c r="A1297" s="57" t="s">
        <v>4426</v>
      </c>
      <c r="B1297" s="57"/>
      <c r="C1297" s="57"/>
      <c r="D1297" s="57"/>
      <c r="E1297" s="57"/>
      <c r="F1297" s="57"/>
      <c r="G1297" s="57"/>
      <c r="H1297" s="57"/>
      <c r="I1297" s="57"/>
      <c r="J1297" s="57"/>
      <c r="K1297" s="57"/>
      <c r="L1297" s="57"/>
      <c r="M1297" s="57"/>
      <c r="N1297" s="57"/>
      <c r="O1297" s="57"/>
      <c r="P1297" s="57"/>
    </row>
    <row r="1298" spans="1:19" s="5" customFormat="1" x14ac:dyDescent="0.25">
      <c r="A1298" s="57" t="s">
        <v>4426</v>
      </c>
      <c r="B1298" s="57"/>
      <c r="C1298" s="57"/>
      <c r="D1298" s="57"/>
      <c r="E1298" s="57"/>
      <c r="F1298" s="57"/>
      <c r="G1298" s="57"/>
      <c r="H1298" s="57"/>
      <c r="I1298" s="57"/>
      <c r="J1298" s="57"/>
      <c r="K1298" s="57"/>
      <c r="L1298" s="57"/>
      <c r="M1298" s="57"/>
      <c r="N1298" s="57"/>
      <c r="O1298" s="57"/>
      <c r="P1298" s="57"/>
    </row>
    <row r="1299" spans="1:19" s="5" customFormat="1" x14ac:dyDescent="0.25">
      <c r="A1299" s="57" t="s">
        <v>4426</v>
      </c>
      <c r="B1299" s="57"/>
      <c r="C1299" s="57"/>
      <c r="D1299" s="57"/>
      <c r="E1299" s="57"/>
      <c r="F1299" s="57"/>
      <c r="G1299" s="57"/>
      <c r="H1299" s="57"/>
      <c r="I1299" s="57"/>
      <c r="J1299" s="57"/>
      <c r="K1299" s="57"/>
      <c r="L1299" s="57"/>
      <c r="M1299" s="57"/>
      <c r="N1299" s="57"/>
      <c r="O1299" s="57"/>
      <c r="P1299" s="57"/>
    </row>
    <row r="1300" spans="1:19" s="5" customFormat="1" ht="30" x14ac:dyDescent="0.25">
      <c r="A1300" s="5" t="s">
        <v>4427</v>
      </c>
    </row>
    <row r="1301" spans="1:19" s="5" customFormat="1" x14ac:dyDescent="0.25">
      <c r="A1301" s="38" t="s">
        <v>4428</v>
      </c>
    </row>
    <row r="1302" spans="1:19" s="5" customFormat="1" x14ac:dyDescent="0.25"/>
    <row r="1303" spans="1:19" s="5" customFormat="1" x14ac:dyDescent="0.25">
      <c r="I1303" s="11"/>
    </row>
    <row r="1304" spans="1:19" s="5" customFormat="1" x14ac:dyDescent="0.25">
      <c r="A1304" s="61" t="s">
        <v>1508</v>
      </c>
      <c r="I1304" s="11"/>
    </row>
    <row r="1305" spans="1:19" s="5" customFormat="1" ht="15" customHeight="1" x14ac:dyDescent="0.25">
      <c r="A1305" s="60" t="s">
        <v>1509</v>
      </c>
      <c r="B1305" s="60"/>
      <c r="C1305" s="60"/>
      <c r="D1305" s="60"/>
      <c r="E1305" s="60"/>
      <c r="F1305" s="60"/>
      <c r="G1305" s="60"/>
      <c r="H1305" s="60"/>
      <c r="I1305" s="60"/>
      <c r="J1305" s="60"/>
      <c r="K1305" s="60"/>
      <c r="L1305" s="60"/>
      <c r="M1305" s="60"/>
      <c r="N1305" s="60"/>
      <c r="O1305" s="60"/>
      <c r="P1305" s="60"/>
    </row>
    <row r="1306" spans="1:19" s="5" customFormat="1" x14ac:dyDescent="0.25">
      <c r="I1306" s="11"/>
    </row>
    <row r="1307" spans="1:19" s="5" customFormat="1" ht="15" customHeight="1" x14ac:dyDescent="0.25">
      <c r="A1307" s="57" t="s">
        <v>1510</v>
      </c>
      <c r="B1307" s="57"/>
      <c r="C1307" s="57"/>
      <c r="D1307" s="57"/>
      <c r="E1307" s="57"/>
      <c r="F1307" s="57"/>
      <c r="G1307" s="57"/>
      <c r="H1307" s="57"/>
      <c r="I1307" s="57"/>
      <c r="J1307" s="57"/>
      <c r="K1307" s="57"/>
      <c r="L1307" s="57"/>
      <c r="M1307" s="57"/>
      <c r="N1307" s="57"/>
      <c r="O1307" s="57"/>
      <c r="P1307" s="57"/>
    </row>
    <row r="1308" spans="1:19" s="5" customFormat="1" ht="15" customHeight="1" x14ac:dyDescent="0.25">
      <c r="A1308" s="57" t="s">
        <v>4429</v>
      </c>
      <c r="B1308" s="57"/>
      <c r="C1308" s="57"/>
      <c r="D1308" s="57"/>
      <c r="E1308" s="57"/>
      <c r="F1308" s="57"/>
      <c r="G1308" s="57"/>
      <c r="H1308" s="57"/>
      <c r="I1308" s="57"/>
      <c r="J1308" s="57"/>
      <c r="K1308" s="57"/>
      <c r="L1308" s="57"/>
      <c r="M1308" s="57"/>
      <c r="N1308" s="57"/>
      <c r="O1308" s="57"/>
      <c r="P1308" s="57"/>
    </row>
    <row r="1309" spans="1:19" s="5" customFormat="1" ht="15" customHeight="1" x14ac:dyDescent="0.25">
      <c r="A1309" s="57" t="s">
        <v>4429</v>
      </c>
      <c r="B1309" s="57"/>
      <c r="C1309" s="57"/>
      <c r="D1309" s="57"/>
      <c r="E1309" s="57"/>
      <c r="F1309" s="57"/>
      <c r="G1309" s="57"/>
      <c r="H1309" s="57"/>
      <c r="I1309" s="57"/>
      <c r="J1309" s="57"/>
      <c r="K1309" s="57"/>
      <c r="L1309" s="57"/>
      <c r="M1309" s="57"/>
      <c r="N1309" s="57"/>
      <c r="O1309" s="57"/>
      <c r="P1309" s="57"/>
    </row>
    <row r="1310" spans="1:19" s="5" customFormat="1" x14ac:dyDescent="0.25">
      <c r="I1310" s="11"/>
    </row>
    <row r="1311" spans="1:19" s="5" customFormat="1" x14ac:dyDescent="0.25">
      <c r="A1311" s="52" t="s">
        <v>1512</v>
      </c>
      <c r="B1311" s="52"/>
      <c r="C1311" s="52"/>
      <c r="D1311" s="52"/>
      <c r="E1311" s="52"/>
      <c r="F1311" s="52"/>
      <c r="G1311" s="52"/>
      <c r="H1311" s="52"/>
      <c r="I1311" s="52"/>
      <c r="J1311" s="52"/>
      <c r="K1311" s="52"/>
      <c r="L1311" s="52"/>
      <c r="M1311" s="52"/>
      <c r="N1311" s="52"/>
      <c r="O1311" s="52"/>
      <c r="P1311" s="52"/>
      <c r="Q1311" s="52"/>
      <c r="R1311" s="52"/>
      <c r="S1311" s="52"/>
    </row>
    <row r="1312" spans="1:19" s="5" customFormat="1" x14ac:dyDescent="0.25">
      <c r="A1312" s="52"/>
      <c r="B1312" s="52"/>
      <c r="C1312" s="52"/>
      <c r="D1312" s="52"/>
      <c r="E1312" s="52"/>
      <c r="F1312" s="52"/>
      <c r="G1312" s="52"/>
      <c r="H1312" s="52"/>
      <c r="I1312" s="52"/>
      <c r="J1312" s="52"/>
      <c r="K1312" s="52"/>
      <c r="L1312" s="52"/>
      <c r="M1312" s="52"/>
      <c r="N1312" s="52"/>
      <c r="O1312" s="52"/>
      <c r="P1312" s="52"/>
      <c r="Q1312" s="52"/>
      <c r="R1312" s="52"/>
      <c r="S1312" s="52"/>
    </row>
    <row r="1313" spans="1:19" s="5" customFormat="1" x14ac:dyDescent="0.25">
      <c r="A1313" s="52"/>
      <c r="B1313" s="52"/>
      <c r="C1313" s="52"/>
      <c r="D1313" s="52"/>
      <c r="E1313" s="52"/>
      <c r="F1313" s="52"/>
      <c r="G1313" s="52"/>
      <c r="H1313" s="52"/>
      <c r="I1313" s="52"/>
      <c r="J1313" s="52"/>
      <c r="K1313" s="52"/>
      <c r="L1313" s="52"/>
      <c r="M1313" s="52"/>
      <c r="N1313" s="52"/>
      <c r="O1313" s="52"/>
      <c r="P1313" s="52"/>
      <c r="Q1313" s="52"/>
      <c r="R1313" s="52"/>
      <c r="S1313" s="52"/>
    </row>
    <row r="1314" spans="1:19" s="5" customFormat="1" x14ac:dyDescent="0.25">
      <c r="A1314" s="52"/>
      <c r="B1314" s="52"/>
      <c r="C1314" s="52"/>
      <c r="D1314" s="52"/>
      <c r="E1314" s="52"/>
      <c r="F1314" s="52"/>
      <c r="G1314" s="52"/>
      <c r="H1314" s="52"/>
      <c r="I1314" s="52"/>
      <c r="J1314" s="52"/>
      <c r="K1314" s="52"/>
      <c r="L1314" s="52"/>
      <c r="M1314" s="52"/>
      <c r="N1314" s="52"/>
      <c r="O1314" s="52"/>
      <c r="P1314" s="52"/>
      <c r="Q1314" s="52"/>
      <c r="R1314" s="52"/>
      <c r="S1314" s="52"/>
    </row>
    <row r="1315" spans="1:19" s="5" customFormat="1" x14ac:dyDescent="0.25">
      <c r="A1315" s="52"/>
      <c r="B1315" s="52"/>
      <c r="C1315" s="52"/>
      <c r="D1315" s="52"/>
      <c r="E1315" s="52"/>
      <c r="F1315" s="52"/>
      <c r="G1315" s="52"/>
      <c r="H1315" s="52"/>
      <c r="I1315" s="52"/>
      <c r="J1315" s="52"/>
      <c r="K1315" s="52"/>
      <c r="L1315" s="52"/>
      <c r="M1315" s="52"/>
      <c r="N1315" s="52"/>
      <c r="O1315" s="52"/>
      <c r="P1315" s="52"/>
      <c r="Q1315" s="52"/>
      <c r="R1315" s="52"/>
      <c r="S1315" s="52"/>
    </row>
    <row r="1316" spans="1:19" s="5" customFormat="1" x14ac:dyDescent="0.25">
      <c r="A1316" s="52"/>
      <c r="B1316" s="52"/>
      <c r="C1316" s="52"/>
      <c r="D1316" s="52"/>
      <c r="E1316" s="52"/>
      <c r="F1316" s="52"/>
      <c r="G1316" s="52"/>
      <c r="H1316" s="52"/>
      <c r="I1316" s="52"/>
      <c r="J1316" s="52"/>
      <c r="K1316" s="52"/>
      <c r="L1316" s="52"/>
      <c r="M1316" s="52"/>
      <c r="N1316" s="52"/>
      <c r="O1316" s="52"/>
      <c r="P1316" s="52"/>
      <c r="Q1316" s="52"/>
      <c r="R1316" s="52"/>
      <c r="S1316" s="52"/>
    </row>
    <row r="1317" spans="1:19" s="5" customFormat="1" x14ac:dyDescent="0.25">
      <c r="A1317" s="52"/>
      <c r="B1317" s="52"/>
      <c r="C1317" s="52"/>
      <c r="D1317" s="52"/>
      <c r="E1317" s="52"/>
      <c r="F1317" s="52"/>
      <c r="G1317" s="52"/>
      <c r="H1317" s="52"/>
      <c r="I1317" s="52"/>
      <c r="J1317" s="52"/>
      <c r="K1317" s="52"/>
      <c r="L1317" s="52"/>
      <c r="M1317" s="52"/>
      <c r="N1317" s="52"/>
      <c r="O1317" s="52"/>
      <c r="P1317" s="52"/>
      <c r="Q1317" s="52"/>
      <c r="R1317" s="52"/>
      <c r="S1317" s="52"/>
    </row>
    <row r="1318" spans="1:19" s="5" customFormat="1" x14ac:dyDescent="0.25">
      <c r="A1318" s="52"/>
      <c r="B1318" s="52"/>
      <c r="C1318" s="52"/>
      <c r="D1318" s="52"/>
      <c r="E1318" s="52"/>
      <c r="F1318" s="52"/>
      <c r="G1318" s="52"/>
      <c r="H1318" s="52"/>
      <c r="I1318" s="52"/>
      <c r="J1318" s="52"/>
      <c r="K1318" s="52"/>
      <c r="L1318" s="52"/>
      <c r="M1318" s="52"/>
      <c r="N1318" s="52"/>
      <c r="O1318" s="52"/>
      <c r="P1318" s="52"/>
      <c r="Q1318" s="52"/>
      <c r="R1318" s="52"/>
      <c r="S1318" s="52"/>
    </row>
    <row r="1319" spans="1:19" s="5" customFormat="1" x14ac:dyDescent="0.25">
      <c r="I1319" s="11"/>
    </row>
    <row r="1320" spans="1:19" s="5" customFormat="1" x14ac:dyDescent="0.25">
      <c r="I1320" s="11"/>
    </row>
    <row r="1321" spans="1:19" s="5" customFormat="1" x14ac:dyDescent="0.25">
      <c r="I1321" s="11"/>
    </row>
    <row r="1322" spans="1:19" s="5" customFormat="1" x14ac:dyDescent="0.25">
      <c r="I1322" s="11"/>
    </row>
    <row r="1323" spans="1:19" s="5" customFormat="1" x14ac:dyDescent="0.25">
      <c r="I1323" s="11"/>
    </row>
    <row r="1324" spans="1:19" s="5" customFormat="1" x14ac:dyDescent="0.25">
      <c r="I1324" s="11"/>
    </row>
    <row r="1325" spans="1:19" s="5" customFormat="1" x14ac:dyDescent="0.25">
      <c r="I1325" s="11"/>
    </row>
    <row r="1326" spans="1:19" s="5" customFormat="1" x14ac:dyDescent="0.25">
      <c r="I1326" s="11"/>
    </row>
    <row r="1327" spans="1:19" s="5" customFormat="1" x14ac:dyDescent="0.25">
      <c r="I1327" s="11"/>
    </row>
    <row r="1328" spans="1:19" s="5" customFormat="1" x14ac:dyDescent="0.25">
      <c r="I1328" s="11"/>
    </row>
    <row r="1329" spans="9:9" s="5" customFormat="1" x14ac:dyDescent="0.25">
      <c r="I1329" s="11"/>
    </row>
    <row r="1330" spans="9:9" s="5" customFormat="1" x14ac:dyDescent="0.25">
      <c r="I1330" s="11"/>
    </row>
    <row r="1331" spans="9:9" s="5" customFormat="1" x14ac:dyDescent="0.25">
      <c r="I1331" s="11"/>
    </row>
    <row r="1332" spans="9:9" s="5" customFormat="1" x14ac:dyDescent="0.25">
      <c r="I1332" s="11"/>
    </row>
    <row r="1333" spans="9:9" s="5" customFormat="1" x14ac:dyDescent="0.25">
      <c r="I1333" s="11"/>
    </row>
    <row r="1334" spans="9:9" s="5" customFormat="1" x14ac:dyDescent="0.25">
      <c r="I1334" s="11"/>
    </row>
    <row r="1335" spans="9:9" s="5" customFormat="1" x14ac:dyDescent="0.25">
      <c r="I1335" s="11"/>
    </row>
    <row r="1336" spans="9:9" s="5" customFormat="1" x14ac:dyDescent="0.25">
      <c r="I1336" s="11"/>
    </row>
    <row r="1337" spans="9:9" s="5" customFormat="1" x14ac:dyDescent="0.25">
      <c r="I1337" s="11"/>
    </row>
    <row r="1338" spans="9:9" s="5" customFormat="1" x14ac:dyDescent="0.25">
      <c r="I1338" s="11"/>
    </row>
    <row r="1339" spans="9:9" s="5" customFormat="1" x14ac:dyDescent="0.25">
      <c r="I1339" s="11"/>
    </row>
    <row r="1340" spans="9:9" s="5" customFormat="1" x14ac:dyDescent="0.25">
      <c r="I1340" s="11"/>
    </row>
    <row r="1341" spans="9:9" s="5" customFormat="1" x14ac:dyDescent="0.25">
      <c r="I1341" s="11"/>
    </row>
    <row r="1342" spans="9:9" s="5" customFormat="1" x14ac:dyDescent="0.25">
      <c r="I1342" s="11"/>
    </row>
    <row r="1343" spans="9:9" s="5" customFormat="1" x14ac:dyDescent="0.25">
      <c r="I1343" s="11"/>
    </row>
    <row r="1344" spans="9:9" s="5" customFormat="1" x14ac:dyDescent="0.25">
      <c r="I1344" s="11"/>
    </row>
    <row r="1345" spans="9:9" s="5" customFormat="1" x14ac:dyDescent="0.25">
      <c r="I1345" s="11"/>
    </row>
    <row r="1346" spans="9:9" s="5" customFormat="1" x14ac:dyDescent="0.25">
      <c r="I1346" s="11"/>
    </row>
    <row r="1347" spans="9:9" s="5" customFormat="1" x14ac:dyDescent="0.25">
      <c r="I1347" s="11"/>
    </row>
    <row r="1348" spans="9:9" s="5" customFormat="1" x14ac:dyDescent="0.25">
      <c r="I1348" s="11"/>
    </row>
    <row r="1349" spans="9:9" s="5" customFormat="1" x14ac:dyDescent="0.25">
      <c r="I1349" s="11"/>
    </row>
    <row r="1350" spans="9:9" s="5" customFormat="1" x14ac:dyDescent="0.25">
      <c r="I1350" s="11"/>
    </row>
    <row r="1351" spans="9:9" s="5" customFormat="1" x14ac:dyDescent="0.25">
      <c r="I1351" s="11"/>
    </row>
    <row r="1352" spans="9:9" s="5" customFormat="1" x14ac:dyDescent="0.25">
      <c r="I1352" s="11"/>
    </row>
    <row r="1353" spans="9:9" s="5" customFormat="1" x14ac:dyDescent="0.25">
      <c r="I1353" s="11"/>
    </row>
    <row r="1354" spans="9:9" s="5" customFormat="1" x14ac:dyDescent="0.25">
      <c r="I1354" s="11"/>
    </row>
    <row r="1355" spans="9:9" s="5" customFormat="1" x14ac:dyDescent="0.25">
      <c r="I1355" s="11"/>
    </row>
    <row r="1356" spans="9:9" s="5" customFormat="1" x14ac:dyDescent="0.25">
      <c r="I1356" s="11"/>
    </row>
    <row r="1357" spans="9:9" s="5" customFormat="1" x14ac:dyDescent="0.25">
      <c r="I1357" s="11"/>
    </row>
    <row r="1358" spans="9:9" s="5" customFormat="1" x14ac:dyDescent="0.25">
      <c r="I1358" s="11"/>
    </row>
    <row r="1359" spans="9:9" s="5" customFormat="1" x14ac:dyDescent="0.25">
      <c r="I1359" s="11"/>
    </row>
    <row r="1360" spans="9:9" s="5" customFormat="1" x14ac:dyDescent="0.25">
      <c r="I1360" s="11"/>
    </row>
    <row r="1361" spans="9:9" s="5" customFormat="1" x14ac:dyDescent="0.25">
      <c r="I1361" s="11"/>
    </row>
    <row r="1362" spans="9:9" s="5" customFormat="1" x14ac:dyDescent="0.25">
      <c r="I1362" s="11"/>
    </row>
    <row r="1363" spans="9:9" s="5" customFormat="1" x14ac:dyDescent="0.25">
      <c r="I1363" s="11"/>
    </row>
    <row r="1364" spans="9:9" s="5" customFormat="1" x14ac:dyDescent="0.25">
      <c r="I1364" s="11"/>
    </row>
    <row r="1365" spans="9:9" s="5" customFormat="1" x14ac:dyDescent="0.25">
      <c r="I1365" s="11"/>
    </row>
    <row r="1366" spans="9:9" s="5" customFormat="1" x14ac:dyDescent="0.25">
      <c r="I1366" s="11"/>
    </row>
    <row r="1367" spans="9:9" s="5" customFormat="1" x14ac:dyDescent="0.25">
      <c r="I1367" s="11"/>
    </row>
    <row r="1368" spans="9:9" s="5" customFormat="1" x14ac:dyDescent="0.25">
      <c r="I1368" s="11"/>
    </row>
    <row r="1369" spans="9:9" s="5" customFormat="1" x14ac:dyDescent="0.25">
      <c r="I1369" s="11"/>
    </row>
    <row r="1370" spans="9:9" s="5" customFormat="1" x14ac:dyDescent="0.25">
      <c r="I1370" s="11"/>
    </row>
    <row r="1371" spans="9:9" s="5" customFormat="1" x14ac:dyDescent="0.25">
      <c r="I1371" s="11"/>
    </row>
    <row r="1372" spans="9:9" s="5" customFormat="1" x14ac:dyDescent="0.25">
      <c r="I1372" s="11"/>
    </row>
    <row r="1373" spans="9:9" s="5" customFormat="1" x14ac:dyDescent="0.25">
      <c r="I1373" s="11"/>
    </row>
    <row r="1374" spans="9:9" s="5" customFormat="1" x14ac:dyDescent="0.25">
      <c r="I1374" s="11"/>
    </row>
    <row r="1375" spans="9:9" s="5" customFormat="1" x14ac:dyDescent="0.25">
      <c r="I1375" s="11"/>
    </row>
    <row r="1376" spans="9:9" s="5" customFormat="1" x14ac:dyDescent="0.25">
      <c r="I1376" s="11"/>
    </row>
    <row r="1377" spans="9:9" s="5" customFormat="1" x14ac:dyDescent="0.25">
      <c r="I1377" s="11"/>
    </row>
    <row r="1378" spans="9:9" s="5" customFormat="1" x14ac:dyDescent="0.25">
      <c r="I1378" s="11"/>
    </row>
    <row r="1379" spans="9:9" s="5" customFormat="1" x14ac:dyDescent="0.25">
      <c r="I1379" s="11"/>
    </row>
    <row r="1380" spans="9:9" s="5" customFormat="1" x14ac:dyDescent="0.25">
      <c r="I1380" s="11"/>
    </row>
    <row r="1381" spans="9:9" s="5" customFormat="1" x14ac:dyDescent="0.25">
      <c r="I1381" s="11"/>
    </row>
    <row r="1382" spans="9:9" s="5" customFormat="1" x14ac:dyDescent="0.25">
      <c r="I1382" s="11"/>
    </row>
    <row r="1383" spans="9:9" s="5" customFormat="1" x14ac:dyDescent="0.25">
      <c r="I1383" s="11"/>
    </row>
    <row r="1384" spans="9:9" s="5" customFormat="1" x14ac:dyDescent="0.25">
      <c r="I1384" s="11"/>
    </row>
    <row r="1385" spans="9:9" s="5" customFormat="1" x14ac:dyDescent="0.25">
      <c r="I1385" s="11"/>
    </row>
    <row r="1386" spans="9:9" s="5" customFormat="1" x14ac:dyDescent="0.25">
      <c r="I1386" s="11"/>
    </row>
    <row r="1387" spans="9:9" s="5" customFormat="1" x14ac:dyDescent="0.25">
      <c r="I1387" s="11"/>
    </row>
    <row r="1388" spans="9:9" s="5" customFormat="1" x14ac:dyDescent="0.25">
      <c r="I1388" s="11"/>
    </row>
    <row r="1389" spans="9:9" s="5" customFormat="1" x14ac:dyDescent="0.25">
      <c r="I1389" s="11"/>
    </row>
    <row r="1390" spans="9:9" s="5" customFormat="1" x14ac:dyDescent="0.25">
      <c r="I1390" s="11"/>
    </row>
    <row r="1391" spans="9:9" s="5" customFormat="1" x14ac:dyDescent="0.25">
      <c r="I1391" s="11"/>
    </row>
    <row r="1392" spans="9:9" s="5" customFormat="1" x14ac:dyDescent="0.25">
      <c r="I1392" s="11"/>
    </row>
    <row r="1393" spans="9:9" s="5" customFormat="1" x14ac:dyDescent="0.25">
      <c r="I1393" s="11"/>
    </row>
    <row r="1394" spans="9:9" s="5" customFormat="1" x14ac:dyDescent="0.25">
      <c r="I1394" s="11"/>
    </row>
    <row r="1395" spans="9:9" s="5" customFormat="1" x14ac:dyDescent="0.25">
      <c r="I1395" s="11"/>
    </row>
    <row r="1396" spans="9:9" s="5" customFormat="1" x14ac:dyDescent="0.25">
      <c r="I1396" s="11"/>
    </row>
    <row r="1397" spans="9:9" s="5" customFormat="1" x14ac:dyDescent="0.25">
      <c r="I1397" s="11"/>
    </row>
    <row r="1398" spans="9:9" s="5" customFormat="1" x14ac:dyDescent="0.25">
      <c r="I1398" s="11"/>
    </row>
    <row r="1399" spans="9:9" s="5" customFormat="1" x14ac:dyDescent="0.25">
      <c r="I1399" s="11"/>
    </row>
    <row r="1400" spans="9:9" s="5" customFormat="1" x14ac:dyDescent="0.25">
      <c r="I1400" s="11"/>
    </row>
    <row r="1401" spans="9:9" s="5" customFormat="1" x14ac:dyDescent="0.25">
      <c r="I1401" s="11"/>
    </row>
    <row r="1402" spans="9:9" s="5" customFormat="1" x14ac:dyDescent="0.25">
      <c r="I1402" s="11"/>
    </row>
    <row r="1403" spans="9:9" s="5" customFormat="1" x14ac:dyDescent="0.25">
      <c r="I1403" s="11"/>
    </row>
    <row r="1404" spans="9:9" s="5" customFormat="1" x14ac:dyDescent="0.25">
      <c r="I1404" s="11"/>
    </row>
    <row r="1405" spans="9:9" s="5" customFormat="1" x14ac:dyDescent="0.25">
      <c r="I1405" s="11"/>
    </row>
    <row r="1406" spans="9:9" s="5" customFormat="1" x14ac:dyDescent="0.25">
      <c r="I1406" s="11"/>
    </row>
    <row r="1407" spans="9:9" s="5" customFormat="1" x14ac:dyDescent="0.25">
      <c r="I1407" s="11"/>
    </row>
    <row r="1408" spans="9:9" s="5" customFormat="1" x14ac:dyDescent="0.25">
      <c r="I1408" s="11"/>
    </row>
    <row r="1409" spans="9:9" s="5" customFormat="1" x14ac:dyDescent="0.25">
      <c r="I1409" s="11"/>
    </row>
    <row r="1410" spans="9:9" s="5" customFormat="1" x14ac:dyDescent="0.25">
      <c r="I1410" s="11"/>
    </row>
    <row r="1411" spans="9:9" s="5" customFormat="1" x14ac:dyDescent="0.25">
      <c r="I1411" s="11"/>
    </row>
    <row r="1412" spans="9:9" s="5" customFormat="1" x14ac:dyDescent="0.25">
      <c r="I1412" s="11"/>
    </row>
    <row r="1413" spans="9:9" s="5" customFormat="1" x14ac:dyDescent="0.25">
      <c r="I1413" s="11"/>
    </row>
    <row r="1414" spans="9:9" s="5" customFormat="1" x14ac:dyDescent="0.25">
      <c r="I1414" s="11"/>
    </row>
    <row r="1415" spans="9:9" s="5" customFormat="1" x14ac:dyDescent="0.25">
      <c r="I1415" s="11"/>
    </row>
    <row r="1416" spans="9:9" s="5" customFormat="1" x14ac:dyDescent="0.25">
      <c r="I1416" s="11"/>
    </row>
    <row r="1417" spans="9:9" s="5" customFormat="1" x14ac:dyDescent="0.25">
      <c r="I1417" s="11"/>
    </row>
    <row r="1418" spans="9:9" s="5" customFormat="1" x14ac:dyDescent="0.25">
      <c r="I1418" s="11"/>
    </row>
    <row r="1419" spans="9:9" s="5" customFormat="1" x14ac:dyDescent="0.25">
      <c r="I1419" s="11"/>
    </row>
    <row r="1420" spans="9:9" s="5" customFormat="1" x14ac:dyDescent="0.25">
      <c r="I1420" s="11"/>
    </row>
    <row r="1421" spans="9:9" s="5" customFormat="1" x14ac:dyDescent="0.25">
      <c r="I1421" s="11"/>
    </row>
    <row r="1422" spans="9:9" s="5" customFormat="1" x14ac:dyDescent="0.25">
      <c r="I1422" s="11"/>
    </row>
    <row r="1423" spans="9:9" s="5" customFormat="1" x14ac:dyDescent="0.25">
      <c r="I1423" s="11"/>
    </row>
    <row r="1424" spans="9:9" s="5" customFormat="1" x14ac:dyDescent="0.25">
      <c r="I1424" s="11"/>
    </row>
    <row r="1425" spans="9:9" s="5" customFormat="1" x14ac:dyDescent="0.25">
      <c r="I1425" s="11"/>
    </row>
    <row r="1426" spans="9:9" s="5" customFormat="1" x14ac:dyDescent="0.25">
      <c r="I1426" s="11"/>
    </row>
    <row r="1427" spans="9:9" s="5" customFormat="1" x14ac:dyDescent="0.25">
      <c r="I1427" s="11"/>
    </row>
    <row r="1428" spans="9:9" s="5" customFormat="1" x14ac:dyDescent="0.25">
      <c r="I1428" s="11"/>
    </row>
    <row r="1429" spans="9:9" s="5" customFormat="1" x14ac:dyDescent="0.25">
      <c r="I1429" s="11"/>
    </row>
    <row r="1430" spans="9:9" s="5" customFormat="1" x14ac:dyDescent="0.25">
      <c r="I1430" s="11"/>
    </row>
    <row r="1431" spans="9:9" s="5" customFormat="1" x14ac:dyDescent="0.25">
      <c r="I1431" s="11"/>
    </row>
    <row r="1432" spans="9:9" s="5" customFormat="1" x14ac:dyDescent="0.25">
      <c r="I1432" s="11"/>
    </row>
    <row r="1433" spans="9:9" s="5" customFormat="1" x14ac:dyDescent="0.25">
      <c r="I1433" s="11"/>
    </row>
    <row r="1434" spans="9:9" s="5" customFormat="1" x14ac:dyDescent="0.25">
      <c r="I1434" s="11"/>
    </row>
    <row r="1435" spans="9:9" s="5" customFormat="1" x14ac:dyDescent="0.25">
      <c r="I1435" s="11"/>
    </row>
    <row r="1436" spans="9:9" s="5" customFormat="1" x14ac:dyDescent="0.25">
      <c r="I1436" s="11"/>
    </row>
    <row r="1437" spans="9:9" s="5" customFormat="1" x14ac:dyDescent="0.25">
      <c r="I1437" s="11"/>
    </row>
    <row r="1438" spans="9:9" s="5" customFormat="1" x14ac:dyDescent="0.25">
      <c r="I1438" s="11"/>
    </row>
    <row r="1439" spans="9:9" s="5" customFormat="1" x14ac:dyDescent="0.25">
      <c r="I1439" s="11"/>
    </row>
    <row r="1440" spans="9:9" s="5" customFormat="1" x14ac:dyDescent="0.25">
      <c r="I1440" s="11"/>
    </row>
    <row r="1441" spans="9:9" s="5" customFormat="1" x14ac:dyDescent="0.25">
      <c r="I1441" s="11"/>
    </row>
    <row r="1442" spans="9:9" s="5" customFormat="1" x14ac:dyDescent="0.25">
      <c r="I1442" s="11"/>
    </row>
    <row r="1443" spans="9:9" s="5" customFormat="1" x14ac:dyDescent="0.25">
      <c r="I1443" s="11"/>
    </row>
    <row r="1444" spans="9:9" s="5" customFormat="1" x14ac:dyDescent="0.25">
      <c r="I1444" s="11"/>
    </row>
    <row r="1445" spans="9:9" s="5" customFormat="1" x14ac:dyDescent="0.25">
      <c r="I1445" s="11"/>
    </row>
    <row r="1446" spans="9:9" s="5" customFormat="1" x14ac:dyDescent="0.25">
      <c r="I1446" s="11"/>
    </row>
    <row r="1447" spans="9:9" s="5" customFormat="1" x14ac:dyDescent="0.25">
      <c r="I1447" s="11"/>
    </row>
    <row r="1448" spans="9:9" s="5" customFormat="1" x14ac:dyDescent="0.25">
      <c r="I1448" s="11"/>
    </row>
    <row r="1449" spans="9:9" s="5" customFormat="1" x14ac:dyDescent="0.25">
      <c r="I1449" s="11"/>
    </row>
    <row r="1450" spans="9:9" s="5" customFormat="1" x14ac:dyDescent="0.25">
      <c r="I1450" s="11"/>
    </row>
    <row r="1451" spans="9:9" s="5" customFormat="1" x14ac:dyDescent="0.25">
      <c r="I1451" s="11"/>
    </row>
    <row r="1452" spans="9:9" s="5" customFormat="1" x14ac:dyDescent="0.25">
      <c r="I1452" s="11"/>
    </row>
    <row r="1453" spans="9:9" s="5" customFormat="1" x14ac:dyDescent="0.25">
      <c r="I1453" s="11"/>
    </row>
    <row r="1454" spans="9:9" s="5" customFormat="1" x14ac:dyDescent="0.25">
      <c r="I1454" s="11"/>
    </row>
    <row r="1455" spans="9:9" s="5" customFormat="1" x14ac:dyDescent="0.25">
      <c r="I1455" s="11"/>
    </row>
    <row r="1456" spans="9:9" s="5" customFormat="1" x14ac:dyDescent="0.25">
      <c r="I1456" s="11"/>
    </row>
    <row r="1457" spans="9:9" s="5" customFormat="1" x14ac:dyDescent="0.25">
      <c r="I1457" s="11"/>
    </row>
    <row r="1458" spans="9:9" s="5" customFormat="1" x14ac:dyDescent="0.25">
      <c r="I1458" s="11"/>
    </row>
    <row r="1459" spans="9:9" s="5" customFormat="1" x14ac:dyDescent="0.25">
      <c r="I1459" s="11"/>
    </row>
    <row r="1460" spans="9:9" s="5" customFormat="1" x14ac:dyDescent="0.25">
      <c r="I1460" s="11"/>
    </row>
    <row r="1461" spans="9:9" s="5" customFormat="1" x14ac:dyDescent="0.25">
      <c r="I1461" s="11"/>
    </row>
    <row r="1462" spans="9:9" s="5" customFormat="1" x14ac:dyDescent="0.25">
      <c r="I1462" s="11"/>
    </row>
    <row r="1463" spans="9:9" s="5" customFormat="1" x14ac:dyDescent="0.25">
      <c r="I1463" s="11"/>
    </row>
    <row r="1464" spans="9:9" s="5" customFormat="1" x14ac:dyDescent="0.25">
      <c r="I1464" s="11"/>
    </row>
    <row r="1465" spans="9:9" s="5" customFormat="1" x14ac:dyDescent="0.25">
      <c r="I1465" s="11"/>
    </row>
    <row r="1466" spans="9:9" s="5" customFormat="1" x14ac:dyDescent="0.25">
      <c r="I1466" s="11"/>
    </row>
    <row r="1467" spans="9:9" s="5" customFormat="1" x14ac:dyDescent="0.25">
      <c r="I1467" s="11"/>
    </row>
    <row r="1468" spans="9:9" s="5" customFormat="1" x14ac:dyDescent="0.25">
      <c r="I1468" s="11"/>
    </row>
    <row r="1469" spans="9:9" s="5" customFormat="1" x14ac:dyDescent="0.25">
      <c r="I1469" s="11"/>
    </row>
    <row r="1470" spans="9:9" s="5" customFormat="1" x14ac:dyDescent="0.25">
      <c r="I1470" s="11"/>
    </row>
    <row r="1471" spans="9:9" s="5" customFormat="1" x14ac:dyDescent="0.25">
      <c r="I1471" s="11"/>
    </row>
    <row r="1472" spans="9:9" s="5" customFormat="1" x14ac:dyDescent="0.25">
      <c r="I1472" s="11"/>
    </row>
    <row r="1473" spans="9:9" s="5" customFormat="1" x14ac:dyDescent="0.25">
      <c r="I1473" s="11"/>
    </row>
    <row r="1474" spans="9:9" s="5" customFormat="1" x14ac:dyDescent="0.25">
      <c r="I1474" s="11"/>
    </row>
    <row r="1475" spans="9:9" s="5" customFormat="1" x14ac:dyDescent="0.25">
      <c r="I1475" s="11"/>
    </row>
    <row r="1476" spans="9:9" s="5" customFormat="1" x14ac:dyDescent="0.25">
      <c r="I1476" s="11"/>
    </row>
    <row r="1477" spans="9:9" s="5" customFormat="1" x14ac:dyDescent="0.25">
      <c r="I1477" s="11"/>
    </row>
    <row r="1478" spans="9:9" s="5" customFormat="1" x14ac:dyDescent="0.25">
      <c r="I1478" s="11"/>
    </row>
    <row r="1479" spans="9:9" s="5" customFormat="1" x14ac:dyDescent="0.25">
      <c r="I1479" s="11"/>
    </row>
    <row r="1480" spans="9:9" s="5" customFormat="1" x14ac:dyDescent="0.25">
      <c r="I1480" s="11"/>
    </row>
    <row r="1481" spans="9:9" s="5" customFormat="1" x14ac:dyDescent="0.25">
      <c r="I1481" s="11"/>
    </row>
    <row r="1482" spans="9:9" s="5" customFormat="1" x14ac:dyDescent="0.25">
      <c r="I1482" s="11"/>
    </row>
    <row r="1483" spans="9:9" s="5" customFormat="1" x14ac:dyDescent="0.25">
      <c r="I1483" s="11"/>
    </row>
    <row r="1484" spans="9:9" s="5" customFormat="1" x14ac:dyDescent="0.25">
      <c r="I1484" s="11"/>
    </row>
    <row r="1485" spans="9:9" s="5" customFormat="1" x14ac:dyDescent="0.25">
      <c r="I1485" s="11"/>
    </row>
    <row r="1486" spans="9:9" s="5" customFormat="1" x14ac:dyDescent="0.25">
      <c r="I1486" s="11"/>
    </row>
    <row r="1487" spans="9:9" s="5" customFormat="1" x14ac:dyDescent="0.25">
      <c r="I1487" s="11"/>
    </row>
    <row r="1488" spans="9:9" s="5" customFormat="1" x14ac:dyDescent="0.25">
      <c r="I1488" s="11"/>
    </row>
    <row r="1489" spans="9:9" s="5" customFormat="1" x14ac:dyDescent="0.25">
      <c r="I1489" s="11"/>
    </row>
    <row r="1490" spans="9:9" s="5" customFormat="1" x14ac:dyDescent="0.25">
      <c r="I1490" s="11"/>
    </row>
    <row r="1491" spans="9:9" s="5" customFormat="1" x14ac:dyDescent="0.25">
      <c r="I1491" s="11"/>
    </row>
    <row r="1492" spans="9:9" s="5" customFormat="1" x14ac:dyDescent="0.25">
      <c r="I1492" s="11"/>
    </row>
    <row r="1493" spans="9:9" s="5" customFormat="1" x14ac:dyDescent="0.25">
      <c r="I1493" s="11"/>
    </row>
    <row r="1494" spans="9:9" s="5" customFormat="1" x14ac:dyDescent="0.25">
      <c r="I1494" s="11"/>
    </row>
    <row r="1495" spans="9:9" s="5" customFormat="1" x14ac:dyDescent="0.25">
      <c r="I1495" s="11"/>
    </row>
    <row r="1496" spans="9:9" s="5" customFormat="1" x14ac:dyDescent="0.25">
      <c r="I1496" s="11"/>
    </row>
    <row r="1497" spans="9:9" s="5" customFormat="1" x14ac:dyDescent="0.25">
      <c r="I1497" s="11"/>
    </row>
    <row r="1498" spans="9:9" s="5" customFormat="1" x14ac:dyDescent="0.25">
      <c r="I1498" s="11"/>
    </row>
    <row r="1499" spans="9:9" s="5" customFormat="1" x14ac:dyDescent="0.25">
      <c r="I1499" s="11"/>
    </row>
    <row r="1500" spans="9:9" s="5" customFormat="1" x14ac:dyDescent="0.25">
      <c r="I1500" s="11"/>
    </row>
    <row r="1501" spans="9:9" s="5" customFormat="1" x14ac:dyDescent="0.25">
      <c r="I1501" s="11"/>
    </row>
    <row r="1502" spans="9:9" s="5" customFormat="1" x14ac:dyDescent="0.25">
      <c r="I1502" s="11"/>
    </row>
    <row r="1503" spans="9:9" s="5" customFormat="1" x14ac:dyDescent="0.25">
      <c r="I1503" s="11"/>
    </row>
    <row r="1504" spans="9:9" s="5" customFormat="1" x14ac:dyDescent="0.25">
      <c r="I1504" s="11"/>
    </row>
    <row r="1505" spans="9:9" s="5" customFormat="1" x14ac:dyDescent="0.25">
      <c r="I1505" s="11"/>
    </row>
    <row r="1506" spans="9:9" s="5" customFormat="1" x14ac:dyDescent="0.25">
      <c r="I1506" s="11"/>
    </row>
    <row r="1507" spans="9:9" s="5" customFormat="1" x14ac:dyDescent="0.25">
      <c r="I1507" s="11"/>
    </row>
    <row r="1508" spans="9:9" s="5" customFormat="1" x14ac:dyDescent="0.25">
      <c r="I1508" s="11"/>
    </row>
    <row r="1509" spans="9:9" s="5" customFormat="1" x14ac:dyDescent="0.25">
      <c r="I1509" s="11"/>
    </row>
    <row r="1510" spans="9:9" s="5" customFormat="1" x14ac:dyDescent="0.25">
      <c r="I1510" s="11"/>
    </row>
    <row r="1511" spans="9:9" s="5" customFormat="1" x14ac:dyDescent="0.25">
      <c r="I1511" s="11"/>
    </row>
    <row r="1512" spans="9:9" s="5" customFormat="1" x14ac:dyDescent="0.25">
      <c r="I1512" s="11"/>
    </row>
    <row r="1513" spans="9:9" s="5" customFormat="1" x14ac:dyDescent="0.25">
      <c r="I1513" s="11"/>
    </row>
    <row r="1514" spans="9:9" s="5" customFormat="1" x14ac:dyDescent="0.25">
      <c r="I1514" s="11"/>
    </row>
    <row r="1515" spans="9:9" s="5" customFormat="1" x14ac:dyDescent="0.25">
      <c r="I1515" s="11"/>
    </row>
    <row r="1516" spans="9:9" s="5" customFormat="1" x14ac:dyDescent="0.25">
      <c r="I1516" s="11"/>
    </row>
    <row r="1517" spans="9:9" s="5" customFormat="1" x14ac:dyDescent="0.25">
      <c r="I1517" s="11"/>
    </row>
    <row r="1518" spans="9:9" s="5" customFormat="1" x14ac:dyDescent="0.25">
      <c r="I1518" s="11"/>
    </row>
    <row r="1519" spans="9:9" s="5" customFormat="1" x14ac:dyDescent="0.25">
      <c r="I1519" s="11"/>
    </row>
    <row r="1520" spans="9:9" s="5" customFormat="1" x14ac:dyDescent="0.25">
      <c r="I1520" s="11"/>
    </row>
    <row r="1521" spans="9:9" s="5" customFormat="1" x14ac:dyDescent="0.25">
      <c r="I1521" s="11"/>
    </row>
    <row r="1522" spans="9:9" s="5" customFormat="1" x14ac:dyDescent="0.25">
      <c r="I1522" s="11"/>
    </row>
    <row r="1523" spans="9:9" s="5" customFormat="1" x14ac:dyDescent="0.25">
      <c r="I1523" s="11"/>
    </row>
    <row r="1524" spans="9:9" s="5" customFormat="1" x14ac:dyDescent="0.25">
      <c r="I1524" s="11"/>
    </row>
    <row r="1525" spans="9:9" s="5" customFormat="1" x14ac:dyDescent="0.25">
      <c r="I1525" s="11"/>
    </row>
    <row r="1526" spans="9:9" s="5" customFormat="1" x14ac:dyDescent="0.25">
      <c r="I1526" s="11"/>
    </row>
    <row r="1527" spans="9:9" s="5" customFormat="1" x14ac:dyDescent="0.25">
      <c r="I1527" s="11"/>
    </row>
    <row r="1528" spans="9:9" s="5" customFormat="1" x14ac:dyDescent="0.25">
      <c r="I1528" s="11"/>
    </row>
    <row r="1529" spans="9:9" s="5" customFormat="1" x14ac:dyDescent="0.25">
      <c r="I1529" s="11"/>
    </row>
    <row r="1530" spans="9:9" s="5" customFormat="1" x14ac:dyDescent="0.25">
      <c r="I1530" s="11"/>
    </row>
    <row r="1531" spans="9:9" s="5" customFormat="1" x14ac:dyDescent="0.25">
      <c r="I1531" s="11"/>
    </row>
    <row r="1532" spans="9:9" s="5" customFormat="1" x14ac:dyDescent="0.25">
      <c r="I1532" s="11"/>
    </row>
    <row r="1533" spans="9:9" s="5" customFormat="1" x14ac:dyDescent="0.25">
      <c r="I1533" s="11"/>
    </row>
    <row r="1534" spans="9:9" s="5" customFormat="1" x14ac:dyDescent="0.25">
      <c r="I1534" s="11"/>
    </row>
    <row r="1535" spans="9:9" s="5" customFormat="1" x14ac:dyDescent="0.25">
      <c r="I1535" s="11"/>
    </row>
    <row r="1536" spans="9:9" s="5" customFormat="1" x14ac:dyDescent="0.25">
      <c r="I1536" s="11"/>
    </row>
    <row r="1537" spans="9:9" s="5" customFormat="1" x14ac:dyDescent="0.25">
      <c r="I1537" s="11"/>
    </row>
    <row r="1538" spans="9:9" s="5" customFormat="1" x14ac:dyDescent="0.25">
      <c r="I1538" s="11"/>
    </row>
    <row r="1539" spans="9:9" s="5" customFormat="1" x14ac:dyDescent="0.25">
      <c r="I1539" s="11"/>
    </row>
    <row r="1540" spans="9:9" s="5" customFormat="1" x14ac:dyDescent="0.25">
      <c r="I1540" s="11"/>
    </row>
    <row r="1541" spans="9:9" s="5" customFormat="1" x14ac:dyDescent="0.25">
      <c r="I1541" s="11"/>
    </row>
    <row r="1542" spans="9:9" s="5" customFormat="1" x14ac:dyDescent="0.25">
      <c r="I1542" s="11"/>
    </row>
    <row r="1543" spans="9:9" s="5" customFormat="1" x14ac:dyDescent="0.25">
      <c r="I1543" s="11"/>
    </row>
    <row r="1544" spans="9:9" s="5" customFormat="1" x14ac:dyDescent="0.25">
      <c r="I1544" s="11"/>
    </row>
    <row r="1545" spans="9:9" s="5" customFormat="1" x14ac:dyDescent="0.25">
      <c r="I1545" s="11"/>
    </row>
    <row r="1546" spans="9:9" s="5" customFormat="1" x14ac:dyDescent="0.25">
      <c r="I1546" s="11"/>
    </row>
    <row r="1547" spans="9:9" s="5" customFormat="1" x14ac:dyDescent="0.25">
      <c r="I1547" s="11"/>
    </row>
    <row r="1548" spans="9:9" s="5" customFormat="1" x14ac:dyDescent="0.25">
      <c r="I1548" s="11"/>
    </row>
    <row r="1549" spans="9:9" s="5" customFormat="1" x14ac:dyDescent="0.25">
      <c r="I1549" s="11"/>
    </row>
    <row r="1550" spans="9:9" s="5" customFormat="1" x14ac:dyDescent="0.25">
      <c r="I1550" s="11"/>
    </row>
    <row r="1551" spans="9:9" s="5" customFormat="1" x14ac:dyDescent="0.25">
      <c r="I1551" s="11"/>
    </row>
    <row r="1552" spans="9:9" s="5" customFormat="1" x14ac:dyDescent="0.25">
      <c r="I1552" s="11"/>
    </row>
    <row r="1553" spans="9:9" s="5" customFormat="1" x14ac:dyDescent="0.25">
      <c r="I1553" s="11"/>
    </row>
    <row r="1554" spans="9:9" s="5" customFormat="1" x14ac:dyDescent="0.25">
      <c r="I1554" s="11"/>
    </row>
    <row r="1555" spans="9:9" s="5" customFormat="1" x14ac:dyDescent="0.25">
      <c r="I1555" s="11"/>
    </row>
    <row r="1556" spans="9:9" s="5" customFormat="1" x14ac:dyDescent="0.25">
      <c r="I1556" s="11"/>
    </row>
    <row r="1557" spans="9:9" s="5" customFormat="1" x14ac:dyDescent="0.25">
      <c r="I1557" s="11"/>
    </row>
    <row r="1558" spans="9:9" s="5" customFormat="1" x14ac:dyDescent="0.25">
      <c r="I1558" s="11"/>
    </row>
    <row r="1559" spans="9:9" s="5" customFormat="1" x14ac:dyDescent="0.25">
      <c r="I1559" s="11"/>
    </row>
    <row r="1560" spans="9:9" s="5" customFormat="1" x14ac:dyDescent="0.25">
      <c r="I1560" s="11"/>
    </row>
    <row r="1561" spans="9:9" s="5" customFormat="1" x14ac:dyDescent="0.25">
      <c r="I1561" s="11"/>
    </row>
    <row r="1562" spans="9:9" s="5" customFormat="1" x14ac:dyDescent="0.25">
      <c r="I1562" s="11"/>
    </row>
    <row r="1563" spans="9:9" s="5" customFormat="1" x14ac:dyDescent="0.25">
      <c r="I1563" s="11"/>
    </row>
    <row r="1564" spans="9:9" s="5" customFormat="1" x14ac:dyDescent="0.25">
      <c r="I1564" s="11"/>
    </row>
    <row r="1565" spans="9:9" s="5" customFormat="1" x14ac:dyDescent="0.25">
      <c r="I1565" s="11"/>
    </row>
    <row r="1566" spans="9:9" s="5" customFormat="1" x14ac:dyDescent="0.25">
      <c r="I1566" s="11"/>
    </row>
    <row r="1567" spans="9:9" s="5" customFormat="1" x14ac:dyDescent="0.25">
      <c r="I1567" s="11"/>
    </row>
    <row r="1568" spans="9:9" s="5" customFormat="1" x14ac:dyDescent="0.25">
      <c r="I1568" s="11"/>
    </row>
    <row r="1569" spans="9:9" s="5" customFormat="1" x14ac:dyDescent="0.25">
      <c r="I1569" s="11"/>
    </row>
    <row r="1570" spans="9:9" s="5" customFormat="1" x14ac:dyDescent="0.25">
      <c r="I1570" s="11"/>
    </row>
  </sheetData>
  <mergeCells count="16">
    <mergeCell ref="A1285:P1285"/>
    <mergeCell ref="A1286:P1286"/>
    <mergeCell ref="A1287:P1287"/>
    <mergeCell ref="A1288:P1288"/>
    <mergeCell ref="A6:F7"/>
    <mergeCell ref="A1290:P1290"/>
    <mergeCell ref="A1291:P1291"/>
    <mergeCell ref="A1292:P1292"/>
    <mergeCell ref="A1293:P1293"/>
    <mergeCell ref="A1305:P1305"/>
    <mergeCell ref="A1307:P1309"/>
    <mergeCell ref="A1311:S1318"/>
    <mergeCell ref="A1295"/>
    <mergeCell ref="A1296:P1296"/>
    <mergeCell ref="A1297:P1299"/>
    <mergeCell ref="A1304"/>
  </mergeCells>
  <conditionalFormatting sqref="C12:C786">
    <cfRule type="duplicateValues" dxfId="0" priority="14"/>
  </conditionalFormatting>
  <pageMargins left="0.3" right="0.05" top="0.05" bottom="0.4" header="0.315" footer="0.05"/>
  <pageSetup paperSize="9" scale="29" fitToHeight="0" orientation="landscape" r:id="rId1"/>
  <headerFooter>
    <oddFooter>&amp;C_x000D_&amp;1#&amp;"Calibri"&amp;10&amp;K000000 PUBLIC&amp;RPage &amp;P of &amp;N&amp;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3A2BB-E9AD-4B11-B753-29AF7F9843D9}">
  <dimension ref="A5:T1203"/>
  <sheetViews>
    <sheetView topLeftCell="A638" zoomScale="85" zoomScaleNormal="85" workbookViewId="0">
      <selection activeCell="B657" sqref="B657"/>
    </sheetView>
  </sheetViews>
  <sheetFormatPr defaultColWidth="15.5703125" defaultRowHeight="15" x14ac:dyDescent="0.25"/>
  <cols>
    <col min="1" max="1" width="37.5703125" style="1" customWidth="1"/>
    <col min="2" max="2" width="80.5703125" style="1" bestFit="1" customWidth="1"/>
    <col min="3" max="3" width="13.42578125" style="30" bestFit="1" customWidth="1"/>
    <col min="4" max="4" width="33.5703125" style="1" customWidth="1"/>
    <col min="5" max="5" width="9.42578125" style="1" bestFit="1" customWidth="1"/>
    <col min="6" max="6" width="14.42578125" style="1" bestFit="1" customWidth="1"/>
    <col min="7" max="7" width="5" style="1" bestFit="1" customWidth="1"/>
    <col min="8" max="8" width="15.5703125" style="5"/>
    <col min="9" max="9" width="20.5703125" style="5" customWidth="1"/>
    <col min="10" max="10" width="25.5703125" style="4" customWidth="1"/>
    <col min="11" max="17" width="25.5703125" style="1" customWidth="1"/>
    <col min="18" max="16384" width="15.5703125" style="1"/>
  </cols>
  <sheetData>
    <row r="5" spans="1:20" ht="15.75" thickBot="1" x14ac:dyDescent="0.3"/>
    <row r="6" spans="1:20" ht="15" customHeight="1" x14ac:dyDescent="0.25">
      <c r="A6" s="64" t="s">
        <v>0</v>
      </c>
      <c r="B6" s="65"/>
      <c r="C6" s="65"/>
      <c r="D6" s="65"/>
      <c r="E6" s="65"/>
      <c r="F6" s="65"/>
      <c r="G6" s="66"/>
      <c r="H6" s="7"/>
      <c r="I6" s="7"/>
      <c r="J6" s="7"/>
      <c r="K6" s="7"/>
      <c r="L6" s="7"/>
      <c r="M6" s="7"/>
      <c r="N6" s="7"/>
      <c r="O6" s="7"/>
      <c r="P6" s="7"/>
      <c r="Q6" s="7"/>
      <c r="R6" s="7"/>
      <c r="S6" s="7"/>
      <c r="T6" s="7"/>
    </row>
    <row r="7" spans="1:20" x14ac:dyDescent="0.25">
      <c r="A7" s="62"/>
      <c r="B7" s="63"/>
      <c r="C7" s="63"/>
      <c r="D7" s="63"/>
      <c r="E7" s="63"/>
      <c r="F7" s="63"/>
      <c r="G7" s="67"/>
      <c r="H7" s="7"/>
      <c r="I7" s="7"/>
      <c r="J7" s="7"/>
      <c r="K7" s="7"/>
      <c r="L7" s="7"/>
      <c r="M7" s="7"/>
      <c r="N7" s="7"/>
      <c r="O7" s="7"/>
      <c r="P7" s="7"/>
      <c r="Q7" s="7"/>
      <c r="R7" s="7"/>
      <c r="S7" s="7"/>
      <c r="T7" s="7"/>
    </row>
    <row r="8" spans="1:20" ht="15.75" thickBot="1" x14ac:dyDescent="0.3">
      <c r="A8" s="68"/>
      <c r="B8" s="69"/>
      <c r="C8" s="69"/>
      <c r="D8" s="69"/>
      <c r="E8" s="69"/>
      <c r="F8" s="69"/>
      <c r="G8" s="70"/>
      <c r="H8" s="7"/>
      <c r="I8" s="7"/>
      <c r="J8" s="7"/>
      <c r="K8" s="7"/>
      <c r="L8" s="7"/>
      <c r="M8" s="7"/>
      <c r="N8" s="7"/>
      <c r="O8" s="7"/>
      <c r="P8" s="7"/>
      <c r="Q8" s="7"/>
      <c r="R8" s="7"/>
      <c r="S8" s="7"/>
      <c r="T8" s="7"/>
    </row>
    <row r="10" spans="1:20" ht="23.25" x14ac:dyDescent="0.35">
      <c r="A10" s="2" t="s">
        <v>1</v>
      </c>
      <c r="B10" s="19"/>
    </row>
    <row r="11" spans="1:20" ht="15.75" x14ac:dyDescent="0.25">
      <c r="A11" s="3" t="str">
        <f>'Managed Funds'!A11</f>
        <v>As at 08 September 2025</v>
      </c>
      <c r="B11" s="19"/>
    </row>
    <row r="13" spans="1:20" x14ac:dyDescent="0.25">
      <c r="A13" s="7" t="s">
        <v>1869</v>
      </c>
      <c r="B13" s="7" t="s">
        <v>4430</v>
      </c>
      <c r="C13" s="19" t="s">
        <v>4431</v>
      </c>
      <c r="D13" s="7" t="s">
        <v>1872</v>
      </c>
      <c r="E13" s="7" t="s">
        <v>4432</v>
      </c>
      <c r="F13" s="23" t="s">
        <v>1873</v>
      </c>
      <c r="G13" s="9" t="s">
        <v>9</v>
      </c>
      <c r="H13" s="1"/>
      <c r="I13" s="1"/>
      <c r="J13" s="1"/>
    </row>
    <row r="14" spans="1:20" x14ac:dyDescent="0.25">
      <c r="A14" s="8" t="s">
        <v>4433</v>
      </c>
      <c r="B14" s="8" t="s">
        <v>4434</v>
      </c>
      <c r="C14" s="31" t="s">
        <v>4435</v>
      </c>
      <c r="D14" s="8" t="s">
        <v>1877</v>
      </c>
      <c r="E14" s="8" t="s">
        <v>4436</v>
      </c>
      <c r="F14" s="11" t="s">
        <v>195</v>
      </c>
      <c r="G14" s="11" t="s">
        <v>24</v>
      </c>
      <c r="H14" s="1"/>
      <c r="I14" s="1"/>
      <c r="J14" s="1"/>
    </row>
    <row r="15" spans="1:20" x14ac:dyDescent="0.25">
      <c r="A15" s="8" t="s">
        <v>4433</v>
      </c>
      <c r="B15" s="8" t="s">
        <v>4437</v>
      </c>
      <c r="C15" s="31" t="s">
        <v>4438</v>
      </c>
      <c r="D15" s="8" t="s">
        <v>1877</v>
      </c>
      <c r="E15" s="8" t="s">
        <v>4439</v>
      </c>
      <c r="F15" s="11" t="s">
        <v>24</v>
      </c>
      <c r="G15" s="11" t="s">
        <v>24</v>
      </c>
      <c r="H15" s="1"/>
      <c r="I15" s="1"/>
      <c r="J15" s="1"/>
    </row>
    <row r="16" spans="1:20" x14ac:dyDescent="0.25">
      <c r="A16" s="8" t="s">
        <v>4433</v>
      </c>
      <c r="B16" s="8" t="s">
        <v>4440</v>
      </c>
      <c r="C16" s="31" t="s">
        <v>4441</v>
      </c>
      <c r="D16" s="8" t="s">
        <v>1877</v>
      </c>
      <c r="E16" s="8" t="s">
        <v>4442</v>
      </c>
      <c r="F16" s="11" t="s">
        <v>24</v>
      </c>
      <c r="G16" s="11" t="s">
        <v>24</v>
      </c>
      <c r="H16" s="1"/>
      <c r="I16" s="1"/>
      <c r="J16" s="1"/>
    </row>
    <row r="17" spans="1:10" x14ac:dyDescent="0.25">
      <c r="A17" s="8" t="s">
        <v>4433</v>
      </c>
      <c r="B17" s="8" t="s">
        <v>4443</v>
      </c>
      <c r="C17" s="31" t="s">
        <v>4444</v>
      </c>
      <c r="D17" s="8" t="s">
        <v>1877</v>
      </c>
      <c r="E17" s="8" t="s">
        <v>4445</v>
      </c>
      <c r="F17" s="11" t="s">
        <v>24</v>
      </c>
      <c r="G17" s="11" t="s">
        <v>24</v>
      </c>
      <c r="H17" s="1"/>
      <c r="I17" s="1"/>
      <c r="J17" s="1"/>
    </row>
    <row r="18" spans="1:10" x14ac:dyDescent="0.25">
      <c r="A18" s="8" t="s">
        <v>4433</v>
      </c>
      <c r="B18" s="8" t="s">
        <v>4446</v>
      </c>
      <c r="C18" s="31" t="s">
        <v>4447</v>
      </c>
      <c r="D18" s="8" t="s">
        <v>1877</v>
      </c>
      <c r="E18" s="8" t="s">
        <v>4445</v>
      </c>
      <c r="F18" s="11" t="s">
        <v>24</v>
      </c>
      <c r="G18" s="11" t="s">
        <v>24</v>
      </c>
      <c r="H18" s="1"/>
      <c r="I18" s="1"/>
      <c r="J18" s="1"/>
    </row>
    <row r="19" spans="1:10" x14ac:dyDescent="0.25">
      <c r="A19" s="8" t="s">
        <v>4433</v>
      </c>
      <c r="B19" s="8" t="s">
        <v>4448</v>
      </c>
      <c r="C19" s="31" t="s">
        <v>4449</v>
      </c>
      <c r="D19" s="8" t="s">
        <v>1877</v>
      </c>
      <c r="E19" s="8" t="s">
        <v>4450</v>
      </c>
      <c r="F19" s="11" t="s">
        <v>24</v>
      </c>
      <c r="G19" s="11" t="s">
        <v>24</v>
      </c>
      <c r="H19" s="1"/>
      <c r="I19" s="1"/>
      <c r="J19" s="1"/>
    </row>
    <row r="20" spans="1:10" x14ac:dyDescent="0.25">
      <c r="A20" s="8" t="s">
        <v>4433</v>
      </c>
      <c r="B20" s="8" t="s">
        <v>4451</v>
      </c>
      <c r="C20" s="31" t="s">
        <v>4452</v>
      </c>
      <c r="D20" s="8" t="s">
        <v>1877</v>
      </c>
      <c r="E20" s="8" t="s">
        <v>4453</v>
      </c>
      <c r="F20" s="11" t="s">
        <v>24</v>
      </c>
      <c r="G20" s="11" t="s">
        <v>24</v>
      </c>
      <c r="H20" s="1"/>
      <c r="I20" s="1"/>
      <c r="J20" s="1"/>
    </row>
    <row r="21" spans="1:10" x14ac:dyDescent="0.25">
      <c r="A21" s="8" t="s">
        <v>4433</v>
      </c>
      <c r="B21" s="8" t="s">
        <v>4451</v>
      </c>
      <c r="C21" s="31" t="s">
        <v>2114</v>
      </c>
      <c r="D21" s="8" t="s">
        <v>1877</v>
      </c>
      <c r="E21" s="8" t="s">
        <v>4454</v>
      </c>
      <c r="F21" s="11" t="s">
        <v>24</v>
      </c>
      <c r="G21" s="11" t="s">
        <v>24</v>
      </c>
      <c r="H21" s="1"/>
      <c r="I21" s="1"/>
      <c r="J21" s="1"/>
    </row>
    <row r="22" spans="1:10" x14ac:dyDescent="0.25">
      <c r="A22" s="8" t="s">
        <v>4433</v>
      </c>
      <c r="B22" s="8" t="s">
        <v>4455</v>
      </c>
      <c r="C22" s="31" t="s">
        <v>4456</v>
      </c>
      <c r="D22" s="8" t="s">
        <v>1877</v>
      </c>
      <c r="E22" s="8" t="s">
        <v>4442</v>
      </c>
      <c r="F22" s="11" t="s">
        <v>24</v>
      </c>
      <c r="G22" s="11" t="s">
        <v>24</v>
      </c>
      <c r="H22" s="1"/>
      <c r="I22" s="1"/>
      <c r="J22" s="1"/>
    </row>
    <row r="23" spans="1:10" x14ac:dyDescent="0.25">
      <c r="A23" s="8" t="s">
        <v>4433</v>
      </c>
      <c r="B23" s="8" t="s">
        <v>4457</v>
      </c>
      <c r="C23" s="31" t="s">
        <v>4458</v>
      </c>
      <c r="D23" s="8" t="s">
        <v>1877</v>
      </c>
      <c r="E23" s="8" t="s">
        <v>4442</v>
      </c>
      <c r="F23" s="11" t="s">
        <v>24</v>
      </c>
      <c r="G23" s="11" t="s">
        <v>24</v>
      </c>
      <c r="H23" s="1"/>
      <c r="I23" s="1"/>
      <c r="J23" s="1"/>
    </row>
    <row r="24" spans="1:10" x14ac:dyDescent="0.25">
      <c r="A24" s="8" t="s">
        <v>4433</v>
      </c>
      <c r="B24" s="8" t="s">
        <v>4459</v>
      </c>
      <c r="C24" s="31" t="s">
        <v>4460</v>
      </c>
      <c r="D24" s="8" t="s">
        <v>1877</v>
      </c>
      <c r="E24" s="8" t="s">
        <v>4439</v>
      </c>
      <c r="F24" s="11" t="s">
        <v>24</v>
      </c>
      <c r="G24" s="11" t="s">
        <v>24</v>
      </c>
      <c r="H24" s="1"/>
      <c r="I24" s="1"/>
      <c r="J24" s="1"/>
    </row>
    <row r="25" spans="1:10" x14ac:dyDescent="0.25">
      <c r="A25" s="8" t="s">
        <v>4433</v>
      </c>
      <c r="B25" s="8" t="s">
        <v>4461</v>
      </c>
      <c r="C25" s="31" t="s">
        <v>4462</v>
      </c>
      <c r="D25" s="8" t="s">
        <v>1894</v>
      </c>
      <c r="E25" s="8" t="s">
        <v>4463</v>
      </c>
      <c r="F25" s="11" t="s">
        <v>24</v>
      </c>
      <c r="G25" s="11" t="s">
        <v>24</v>
      </c>
      <c r="H25" s="1"/>
      <c r="I25" s="1"/>
      <c r="J25" s="1"/>
    </row>
    <row r="26" spans="1:10" x14ac:dyDescent="0.25">
      <c r="A26" s="8" t="s">
        <v>4433</v>
      </c>
      <c r="B26" s="8" t="s">
        <v>4464</v>
      </c>
      <c r="C26" s="31" t="s">
        <v>4465</v>
      </c>
      <c r="D26" s="8" t="s">
        <v>1877</v>
      </c>
      <c r="E26" s="8" t="s">
        <v>4442</v>
      </c>
      <c r="F26" s="11" t="s">
        <v>24</v>
      </c>
      <c r="G26" s="11" t="s">
        <v>24</v>
      </c>
      <c r="H26" s="1"/>
      <c r="I26" s="1"/>
      <c r="J26" s="1"/>
    </row>
    <row r="27" spans="1:10" x14ac:dyDescent="0.25">
      <c r="A27" s="8" t="s">
        <v>4433</v>
      </c>
      <c r="B27" s="8" t="s">
        <v>4466</v>
      </c>
      <c r="C27" s="31" t="s">
        <v>4467</v>
      </c>
      <c r="D27" s="8" t="s">
        <v>1877</v>
      </c>
      <c r="E27" s="8" t="s">
        <v>4468</v>
      </c>
      <c r="F27" s="11" t="s">
        <v>24</v>
      </c>
      <c r="G27" s="11" t="s">
        <v>24</v>
      </c>
      <c r="H27" s="1"/>
      <c r="I27" s="1"/>
      <c r="J27" s="1"/>
    </row>
    <row r="28" spans="1:10" x14ac:dyDescent="0.25">
      <c r="A28" s="8" t="s">
        <v>4433</v>
      </c>
      <c r="B28" s="8" t="s">
        <v>4469</v>
      </c>
      <c r="C28" s="31" t="s">
        <v>4470</v>
      </c>
      <c r="D28" s="8" t="s">
        <v>1877</v>
      </c>
      <c r="E28" s="8" t="s">
        <v>4471</v>
      </c>
      <c r="F28" s="11" t="s">
        <v>24</v>
      </c>
      <c r="G28" s="11" t="s">
        <v>24</v>
      </c>
      <c r="H28" s="1"/>
      <c r="I28" s="1"/>
      <c r="J28" s="1"/>
    </row>
    <row r="29" spans="1:10" x14ac:dyDescent="0.25">
      <c r="A29" s="8" t="s">
        <v>4433</v>
      </c>
      <c r="B29" s="8" t="s">
        <v>4472</v>
      </c>
      <c r="C29" s="31" t="s">
        <v>1933</v>
      </c>
      <c r="D29" s="8" t="s">
        <v>1877</v>
      </c>
      <c r="E29" s="8" t="s">
        <v>4473</v>
      </c>
      <c r="F29" s="11" t="s">
        <v>24</v>
      </c>
      <c r="G29" s="11" t="s">
        <v>24</v>
      </c>
      <c r="H29" s="1"/>
      <c r="I29" s="1"/>
      <c r="J29" s="1"/>
    </row>
    <row r="30" spans="1:10" x14ac:dyDescent="0.25">
      <c r="A30" s="8" t="s">
        <v>4433</v>
      </c>
      <c r="B30" s="8" t="s">
        <v>4474</v>
      </c>
      <c r="C30" s="31" t="s">
        <v>4475</v>
      </c>
      <c r="D30" s="8" t="s">
        <v>1877</v>
      </c>
      <c r="E30" s="8" t="s">
        <v>4439</v>
      </c>
      <c r="F30" s="11" t="s">
        <v>24</v>
      </c>
      <c r="G30" s="11" t="s">
        <v>24</v>
      </c>
      <c r="H30" s="1"/>
      <c r="I30" s="1"/>
      <c r="J30" s="1"/>
    </row>
    <row r="31" spans="1:10" x14ac:dyDescent="0.25">
      <c r="A31" s="8" t="s">
        <v>4433</v>
      </c>
      <c r="B31" s="8" t="s">
        <v>4476</v>
      </c>
      <c r="C31" s="31" t="s">
        <v>4477</v>
      </c>
      <c r="D31" s="8" t="s">
        <v>1877</v>
      </c>
      <c r="E31" s="8" t="s">
        <v>4436</v>
      </c>
      <c r="F31" s="11" t="s">
        <v>24</v>
      </c>
      <c r="G31" s="11" t="s">
        <v>24</v>
      </c>
      <c r="H31" s="1"/>
      <c r="I31" s="1"/>
      <c r="J31" s="1"/>
    </row>
    <row r="32" spans="1:10" x14ac:dyDescent="0.25">
      <c r="A32" s="8" t="s">
        <v>4433</v>
      </c>
      <c r="B32" s="8" t="s">
        <v>4478</v>
      </c>
      <c r="C32" s="31" t="s">
        <v>4479</v>
      </c>
      <c r="D32" s="8" t="s">
        <v>1877</v>
      </c>
      <c r="E32" s="8" t="s">
        <v>4436</v>
      </c>
      <c r="F32" s="11" t="s">
        <v>24</v>
      </c>
      <c r="G32" s="11" t="s">
        <v>24</v>
      </c>
      <c r="H32" s="1"/>
      <c r="I32" s="1"/>
      <c r="J32" s="1"/>
    </row>
    <row r="33" spans="1:10" x14ac:dyDescent="0.25">
      <c r="A33" s="8" t="s">
        <v>4433</v>
      </c>
      <c r="B33" s="8" t="s">
        <v>4480</v>
      </c>
      <c r="C33" s="31" t="s">
        <v>4481</v>
      </c>
      <c r="D33" s="8" t="s">
        <v>1877</v>
      </c>
      <c r="E33" s="8" t="s">
        <v>4463</v>
      </c>
      <c r="F33" s="11" t="s">
        <v>24</v>
      </c>
      <c r="G33" s="11" t="s">
        <v>24</v>
      </c>
      <c r="H33" s="1"/>
      <c r="I33" s="1"/>
      <c r="J33" s="1"/>
    </row>
    <row r="34" spans="1:10" x14ac:dyDescent="0.25">
      <c r="A34" s="8" t="s">
        <v>4433</v>
      </c>
      <c r="B34" s="8" t="s">
        <v>4482</v>
      </c>
      <c r="C34" s="31" t="s">
        <v>4483</v>
      </c>
      <c r="D34" s="8" t="s">
        <v>1881</v>
      </c>
      <c r="E34" s="8" t="s">
        <v>4471</v>
      </c>
      <c r="F34" s="11" t="s">
        <v>24</v>
      </c>
      <c r="G34" s="11" t="s">
        <v>24</v>
      </c>
      <c r="H34" s="1"/>
      <c r="I34" s="1"/>
      <c r="J34" s="1"/>
    </row>
    <row r="35" spans="1:10" x14ac:dyDescent="0.25">
      <c r="A35" s="8" t="s">
        <v>4433</v>
      </c>
      <c r="B35" s="8" t="s">
        <v>4484</v>
      </c>
      <c r="C35" s="31" t="s">
        <v>4485</v>
      </c>
      <c r="D35" s="8" t="s">
        <v>1877</v>
      </c>
      <c r="E35" s="8" t="s">
        <v>4463</v>
      </c>
      <c r="F35" s="11" t="s">
        <v>24</v>
      </c>
      <c r="G35" s="11" t="s">
        <v>24</v>
      </c>
      <c r="H35" s="1"/>
      <c r="I35" s="1"/>
      <c r="J35" s="1"/>
    </row>
    <row r="36" spans="1:10" x14ac:dyDescent="0.25">
      <c r="A36" s="8" t="s">
        <v>4433</v>
      </c>
      <c r="B36" s="8" t="s">
        <v>4486</v>
      </c>
      <c r="C36" s="31" t="s">
        <v>4487</v>
      </c>
      <c r="D36" s="8" t="s">
        <v>1877</v>
      </c>
      <c r="E36" s="8" t="s">
        <v>4436</v>
      </c>
      <c r="F36" s="11" t="s">
        <v>195</v>
      </c>
      <c r="G36" s="11" t="s">
        <v>24</v>
      </c>
      <c r="H36" s="1"/>
      <c r="I36" s="1"/>
      <c r="J36" s="1"/>
    </row>
    <row r="37" spans="1:10" x14ac:dyDescent="0.25">
      <c r="A37" s="8" t="s">
        <v>4433</v>
      </c>
      <c r="B37" s="8" t="s">
        <v>4488</v>
      </c>
      <c r="C37" s="31" t="s">
        <v>4489</v>
      </c>
      <c r="D37" s="8" t="s">
        <v>1877</v>
      </c>
      <c r="E37" s="8" t="s">
        <v>4490</v>
      </c>
      <c r="F37" s="11" t="s">
        <v>195</v>
      </c>
      <c r="G37" s="11" t="s">
        <v>24</v>
      </c>
      <c r="H37" s="1"/>
      <c r="I37" s="1"/>
      <c r="J37" s="1"/>
    </row>
    <row r="38" spans="1:10" x14ac:dyDescent="0.25">
      <c r="A38" s="8" t="s">
        <v>4433</v>
      </c>
      <c r="B38" s="8" t="s">
        <v>4491</v>
      </c>
      <c r="C38" s="31" t="s">
        <v>4492</v>
      </c>
      <c r="D38" s="8" t="s">
        <v>1877</v>
      </c>
      <c r="E38" s="8" t="s">
        <v>4468</v>
      </c>
      <c r="F38" s="11" t="s">
        <v>195</v>
      </c>
      <c r="G38" s="11" t="s">
        <v>24</v>
      </c>
      <c r="H38" s="1"/>
      <c r="I38" s="1"/>
      <c r="J38" s="1"/>
    </row>
    <row r="39" spans="1:10" x14ac:dyDescent="0.25">
      <c r="A39" s="8" t="s">
        <v>4433</v>
      </c>
      <c r="B39" s="8" t="s">
        <v>4493</v>
      </c>
      <c r="C39" s="31" t="s">
        <v>4494</v>
      </c>
      <c r="D39" s="8" t="s">
        <v>1877</v>
      </c>
      <c r="E39" s="8" t="s">
        <v>4471</v>
      </c>
      <c r="F39" s="11" t="s">
        <v>24</v>
      </c>
      <c r="G39" s="11" t="s">
        <v>24</v>
      </c>
      <c r="H39" s="1"/>
      <c r="I39" s="1"/>
      <c r="J39" s="1"/>
    </row>
    <row r="40" spans="1:10" x14ac:dyDescent="0.25">
      <c r="A40" s="8" t="s">
        <v>4433</v>
      </c>
      <c r="B40" s="8" t="s">
        <v>4495</v>
      </c>
      <c r="C40" s="31" t="s">
        <v>4496</v>
      </c>
      <c r="D40" s="8" t="s">
        <v>1877</v>
      </c>
      <c r="E40" s="8" t="s">
        <v>4442</v>
      </c>
      <c r="F40" s="11" t="s">
        <v>24</v>
      </c>
      <c r="G40" s="11" t="s">
        <v>24</v>
      </c>
      <c r="H40" s="1"/>
      <c r="I40" s="1"/>
      <c r="J40" s="1"/>
    </row>
    <row r="41" spans="1:10" x14ac:dyDescent="0.25">
      <c r="A41" s="8" t="s">
        <v>4433</v>
      </c>
      <c r="B41" s="8" t="s">
        <v>4497</v>
      </c>
      <c r="C41" s="31" t="s">
        <v>4498</v>
      </c>
      <c r="D41" s="8" t="s">
        <v>1877</v>
      </c>
      <c r="E41" s="8" t="s">
        <v>4499</v>
      </c>
      <c r="F41" s="11" t="s">
        <v>24</v>
      </c>
      <c r="G41" s="11" t="s">
        <v>24</v>
      </c>
      <c r="H41" s="1"/>
      <c r="I41" s="1"/>
      <c r="J41" s="1"/>
    </row>
    <row r="42" spans="1:10" x14ac:dyDescent="0.25">
      <c r="A42" s="8" t="s">
        <v>4433</v>
      </c>
      <c r="B42" s="8" t="s">
        <v>4500</v>
      </c>
      <c r="C42" s="31">
        <v>1299</v>
      </c>
      <c r="D42" s="8" t="s">
        <v>1877</v>
      </c>
      <c r="E42" s="8" t="s">
        <v>4501</v>
      </c>
      <c r="F42" s="11" t="s">
        <v>24</v>
      </c>
      <c r="G42" s="11" t="s">
        <v>24</v>
      </c>
      <c r="H42" s="1"/>
      <c r="I42" s="1"/>
      <c r="J42" s="1"/>
    </row>
    <row r="43" spans="1:10" x14ac:dyDescent="0.25">
      <c r="A43" s="8" t="s">
        <v>4433</v>
      </c>
      <c r="B43" s="8" t="s">
        <v>4502</v>
      </c>
      <c r="C43" s="31" t="s">
        <v>4503</v>
      </c>
      <c r="D43" s="8" t="s">
        <v>1877</v>
      </c>
      <c r="E43" s="8" t="s">
        <v>4468</v>
      </c>
      <c r="F43" s="11" t="s">
        <v>24</v>
      </c>
      <c r="G43" s="11" t="s">
        <v>24</v>
      </c>
      <c r="H43" s="1"/>
      <c r="I43" s="1"/>
      <c r="J43" s="1"/>
    </row>
    <row r="44" spans="1:10" x14ac:dyDescent="0.25">
      <c r="A44" s="8" t="s">
        <v>4433</v>
      </c>
      <c r="B44" s="8" t="s">
        <v>4504</v>
      </c>
      <c r="C44" s="31" t="s">
        <v>4505</v>
      </c>
      <c r="D44" s="8" t="s">
        <v>1877</v>
      </c>
      <c r="E44" s="8" t="s">
        <v>4436</v>
      </c>
      <c r="F44" s="11" t="s">
        <v>24</v>
      </c>
      <c r="G44" s="11" t="s">
        <v>24</v>
      </c>
      <c r="H44" s="1"/>
      <c r="I44" s="1"/>
      <c r="J44" s="1"/>
    </row>
    <row r="45" spans="1:10" x14ac:dyDescent="0.25">
      <c r="A45" s="8" t="s">
        <v>4433</v>
      </c>
      <c r="B45" s="8" t="s">
        <v>4506</v>
      </c>
      <c r="C45" s="31" t="s">
        <v>4507</v>
      </c>
      <c r="D45" s="8" t="s">
        <v>1877</v>
      </c>
      <c r="E45" s="8" t="s">
        <v>4473</v>
      </c>
      <c r="F45" s="11" t="s">
        <v>24</v>
      </c>
      <c r="G45" s="11" t="s">
        <v>24</v>
      </c>
      <c r="H45" s="1"/>
      <c r="I45" s="1"/>
      <c r="J45" s="1"/>
    </row>
    <row r="46" spans="1:10" x14ac:dyDescent="0.25">
      <c r="A46" s="8" t="s">
        <v>4433</v>
      </c>
      <c r="B46" s="8" t="s">
        <v>4506</v>
      </c>
      <c r="C46" s="31" t="s">
        <v>4507</v>
      </c>
      <c r="D46" s="8" t="s">
        <v>1877</v>
      </c>
      <c r="E46" s="8" t="s">
        <v>4468</v>
      </c>
      <c r="F46" s="11" t="s">
        <v>24</v>
      </c>
      <c r="G46" s="11" t="s">
        <v>24</v>
      </c>
      <c r="H46" s="1"/>
      <c r="I46" s="1"/>
      <c r="J46" s="1"/>
    </row>
    <row r="47" spans="1:10" x14ac:dyDescent="0.25">
      <c r="A47" s="8" t="s">
        <v>4433</v>
      </c>
      <c r="B47" s="8" t="s">
        <v>4508</v>
      </c>
      <c r="C47" s="31" t="s">
        <v>4509</v>
      </c>
      <c r="D47" s="8" t="s">
        <v>1877</v>
      </c>
      <c r="E47" s="8" t="s">
        <v>4439</v>
      </c>
      <c r="F47" s="11" t="s">
        <v>24</v>
      </c>
      <c r="G47" s="11" t="s">
        <v>24</v>
      </c>
      <c r="H47" s="1"/>
      <c r="I47" s="1"/>
      <c r="J47" s="1"/>
    </row>
    <row r="48" spans="1:10" x14ac:dyDescent="0.25">
      <c r="A48" s="8" t="s">
        <v>4433</v>
      </c>
      <c r="B48" s="8" t="s">
        <v>4510</v>
      </c>
      <c r="C48" s="31" t="s">
        <v>4511</v>
      </c>
      <c r="D48" s="8" t="s">
        <v>1877</v>
      </c>
      <c r="E48" s="8" t="s">
        <v>4463</v>
      </c>
      <c r="F48" s="11" t="s">
        <v>24</v>
      </c>
      <c r="G48" s="11" t="s">
        <v>24</v>
      </c>
      <c r="H48" s="1"/>
      <c r="I48" s="1"/>
      <c r="J48" s="1"/>
    </row>
    <row r="49" spans="1:10" x14ac:dyDescent="0.25">
      <c r="A49" s="8" t="s">
        <v>4433</v>
      </c>
      <c r="B49" s="8" t="s">
        <v>4512</v>
      </c>
      <c r="C49" s="31" t="s">
        <v>4513</v>
      </c>
      <c r="D49" s="8" t="s">
        <v>1877</v>
      </c>
      <c r="E49" s="8" t="s">
        <v>4442</v>
      </c>
      <c r="F49" s="11" t="s">
        <v>24</v>
      </c>
      <c r="G49" s="11" t="s">
        <v>24</v>
      </c>
      <c r="H49" s="1"/>
      <c r="I49" s="1"/>
      <c r="J49" s="1"/>
    </row>
    <row r="50" spans="1:10" x14ac:dyDescent="0.25">
      <c r="A50" s="8" t="s">
        <v>4433</v>
      </c>
      <c r="B50" s="8" t="s">
        <v>4514</v>
      </c>
      <c r="C50" s="31" t="s">
        <v>4515</v>
      </c>
      <c r="D50" s="8" t="s">
        <v>1877</v>
      </c>
      <c r="E50" s="8" t="s">
        <v>4442</v>
      </c>
      <c r="F50" s="11" t="s">
        <v>24</v>
      </c>
      <c r="G50" s="11" t="s">
        <v>24</v>
      </c>
      <c r="H50" s="1"/>
      <c r="I50" s="1"/>
      <c r="J50" s="1"/>
    </row>
    <row r="51" spans="1:10" x14ac:dyDescent="0.25">
      <c r="A51" s="8" t="s">
        <v>4433</v>
      </c>
      <c r="B51" s="8" t="s">
        <v>4516</v>
      </c>
      <c r="C51" s="31" t="s">
        <v>1953</v>
      </c>
      <c r="D51" s="8" t="s">
        <v>1877</v>
      </c>
      <c r="E51" s="8" t="s">
        <v>4453</v>
      </c>
      <c r="F51" s="11" t="s">
        <v>24</v>
      </c>
      <c r="G51" s="11" t="s">
        <v>24</v>
      </c>
      <c r="H51" s="1"/>
      <c r="I51" s="1"/>
      <c r="J51" s="1"/>
    </row>
    <row r="52" spans="1:10" x14ac:dyDescent="0.25">
      <c r="A52" s="8" t="s">
        <v>4433</v>
      </c>
      <c r="B52" s="8" t="s">
        <v>4517</v>
      </c>
      <c r="C52" s="31" t="s">
        <v>4518</v>
      </c>
      <c r="D52" s="8" t="s">
        <v>1877</v>
      </c>
      <c r="E52" s="8" t="s">
        <v>4454</v>
      </c>
      <c r="F52" s="11" t="s">
        <v>24</v>
      </c>
      <c r="G52" s="11" t="s">
        <v>24</v>
      </c>
      <c r="H52" s="1"/>
      <c r="I52" s="1"/>
      <c r="J52" s="1"/>
    </row>
    <row r="53" spans="1:10" x14ac:dyDescent="0.25">
      <c r="A53" s="8" t="s">
        <v>4433</v>
      </c>
      <c r="B53" s="8" t="s">
        <v>4519</v>
      </c>
      <c r="C53" s="31" t="s">
        <v>4520</v>
      </c>
      <c r="D53" s="8" t="s">
        <v>1877</v>
      </c>
      <c r="E53" s="8" t="s">
        <v>4499</v>
      </c>
      <c r="F53" s="11" t="s">
        <v>24</v>
      </c>
      <c r="G53" s="11" t="s">
        <v>24</v>
      </c>
      <c r="H53" s="1"/>
      <c r="I53" s="1"/>
      <c r="J53" s="1"/>
    </row>
    <row r="54" spans="1:10" x14ac:dyDescent="0.25">
      <c r="A54" s="8" t="s">
        <v>4433</v>
      </c>
      <c r="B54" s="8" t="s">
        <v>4521</v>
      </c>
      <c r="C54" s="31" t="s">
        <v>4522</v>
      </c>
      <c r="D54" s="8" t="s">
        <v>1894</v>
      </c>
      <c r="E54" s="8" t="s">
        <v>4442</v>
      </c>
      <c r="F54" s="11" t="s">
        <v>195</v>
      </c>
      <c r="G54" s="11" t="s">
        <v>24</v>
      </c>
      <c r="H54" s="1"/>
      <c r="I54" s="1"/>
      <c r="J54" s="1"/>
    </row>
    <row r="55" spans="1:10" x14ac:dyDescent="0.25">
      <c r="A55" s="8" t="s">
        <v>4433</v>
      </c>
      <c r="B55" s="8" t="s">
        <v>4523</v>
      </c>
      <c r="C55" s="31">
        <v>9988</v>
      </c>
      <c r="D55" s="8" t="s">
        <v>1877</v>
      </c>
      <c r="E55" s="8" t="s">
        <v>4501</v>
      </c>
      <c r="F55" s="11" t="s">
        <v>24</v>
      </c>
      <c r="G55" s="11" t="s">
        <v>24</v>
      </c>
      <c r="H55" s="1"/>
      <c r="I55" s="1"/>
      <c r="J55" s="1"/>
    </row>
    <row r="56" spans="1:10" x14ac:dyDescent="0.25">
      <c r="A56" s="8" t="s">
        <v>4433</v>
      </c>
      <c r="B56" s="8" t="s">
        <v>4524</v>
      </c>
      <c r="C56" s="31">
        <v>241</v>
      </c>
      <c r="D56" s="8" t="s">
        <v>1877</v>
      </c>
      <c r="E56" s="8" t="s">
        <v>4501</v>
      </c>
      <c r="F56" s="11" t="s">
        <v>24</v>
      </c>
      <c r="G56" s="11" t="s">
        <v>24</v>
      </c>
      <c r="H56" s="1"/>
      <c r="I56" s="1"/>
      <c r="J56" s="1"/>
    </row>
    <row r="57" spans="1:10" x14ac:dyDescent="0.25">
      <c r="A57" s="8" t="s">
        <v>4433</v>
      </c>
      <c r="B57" s="8" t="s">
        <v>4525</v>
      </c>
      <c r="C57" s="31" t="s">
        <v>4526</v>
      </c>
      <c r="D57" s="8" t="s">
        <v>1877</v>
      </c>
      <c r="E57" s="8" t="s">
        <v>4436</v>
      </c>
      <c r="F57" s="11" t="s">
        <v>24</v>
      </c>
      <c r="G57" s="11" t="s">
        <v>24</v>
      </c>
      <c r="H57" s="1"/>
      <c r="I57" s="1"/>
      <c r="J57" s="1"/>
    </row>
    <row r="58" spans="1:10" x14ac:dyDescent="0.25">
      <c r="A58" s="8" t="s">
        <v>4433</v>
      </c>
      <c r="B58" s="8" t="s">
        <v>4527</v>
      </c>
      <c r="C58" s="31" t="s">
        <v>4528</v>
      </c>
      <c r="D58" s="8" t="s">
        <v>1877</v>
      </c>
      <c r="E58" s="8" t="s">
        <v>4499</v>
      </c>
      <c r="F58" s="11" t="s">
        <v>24</v>
      </c>
      <c r="G58" s="11" t="s">
        <v>24</v>
      </c>
      <c r="H58" s="1"/>
      <c r="I58" s="1"/>
      <c r="J58" s="1"/>
    </row>
    <row r="59" spans="1:10" x14ac:dyDescent="0.25">
      <c r="A59" s="8" t="s">
        <v>4433</v>
      </c>
      <c r="B59" s="8" t="s">
        <v>4529</v>
      </c>
      <c r="C59" s="31" t="s">
        <v>4530</v>
      </c>
      <c r="D59" s="8" t="s">
        <v>1877</v>
      </c>
      <c r="E59" s="8" t="s">
        <v>4473</v>
      </c>
      <c r="F59" s="11" t="s">
        <v>24</v>
      </c>
      <c r="G59" s="11" t="s">
        <v>24</v>
      </c>
      <c r="H59" s="1"/>
      <c r="I59" s="1"/>
      <c r="J59" s="1"/>
    </row>
    <row r="60" spans="1:10" x14ac:dyDescent="0.25">
      <c r="A60" s="8" t="s">
        <v>4433</v>
      </c>
      <c r="B60" s="8" t="s">
        <v>4531</v>
      </c>
      <c r="C60" s="31" t="s">
        <v>2058</v>
      </c>
      <c r="D60" s="8" t="s">
        <v>1877</v>
      </c>
      <c r="E60" s="8" t="s">
        <v>4442</v>
      </c>
      <c r="F60" s="11" t="s">
        <v>195</v>
      </c>
      <c r="G60" s="11" t="s">
        <v>24</v>
      </c>
      <c r="H60" s="1"/>
      <c r="I60" s="1"/>
      <c r="J60" s="1"/>
    </row>
    <row r="61" spans="1:10" x14ac:dyDescent="0.25">
      <c r="A61" s="8" t="s">
        <v>4433</v>
      </c>
      <c r="B61" s="8" t="s">
        <v>4532</v>
      </c>
      <c r="C61" s="31" t="s">
        <v>4533</v>
      </c>
      <c r="D61" s="8" t="s">
        <v>1877</v>
      </c>
      <c r="E61" s="8" t="s">
        <v>4436</v>
      </c>
      <c r="F61" s="11" t="s">
        <v>24</v>
      </c>
      <c r="G61" s="11" t="s">
        <v>24</v>
      </c>
      <c r="H61" s="1"/>
      <c r="I61" s="1"/>
      <c r="J61" s="1"/>
    </row>
    <row r="62" spans="1:10" x14ac:dyDescent="0.25">
      <c r="A62" s="8" t="s">
        <v>4433</v>
      </c>
      <c r="B62" s="8" t="s">
        <v>4534</v>
      </c>
      <c r="C62" s="31" t="s">
        <v>4535</v>
      </c>
      <c r="D62" s="8" t="s">
        <v>1877</v>
      </c>
      <c r="E62" s="8" t="s">
        <v>4436</v>
      </c>
      <c r="F62" s="11" t="s">
        <v>24</v>
      </c>
      <c r="G62" s="11" t="s">
        <v>24</v>
      </c>
      <c r="H62" s="1"/>
      <c r="I62" s="1"/>
      <c r="J62" s="1"/>
    </row>
    <row r="63" spans="1:10" x14ac:dyDescent="0.25">
      <c r="A63" s="8" t="s">
        <v>4433</v>
      </c>
      <c r="B63" s="8" t="s">
        <v>4536</v>
      </c>
      <c r="C63" s="31" t="s">
        <v>4537</v>
      </c>
      <c r="D63" s="8" t="s">
        <v>1877</v>
      </c>
      <c r="E63" s="8" t="s">
        <v>4468</v>
      </c>
      <c r="F63" s="11" t="s">
        <v>24</v>
      </c>
      <c r="G63" s="11" t="s">
        <v>24</v>
      </c>
      <c r="H63" s="1"/>
      <c r="I63" s="1"/>
      <c r="J63" s="1"/>
    </row>
    <row r="64" spans="1:10" x14ac:dyDescent="0.25">
      <c r="A64" s="8" t="s">
        <v>4433</v>
      </c>
      <c r="B64" s="8" t="s">
        <v>4538</v>
      </c>
      <c r="C64" s="31" t="s">
        <v>4539</v>
      </c>
      <c r="D64" s="8" t="s">
        <v>1877</v>
      </c>
      <c r="E64" s="8" t="s">
        <v>4540</v>
      </c>
      <c r="F64" s="11" t="s">
        <v>24</v>
      </c>
      <c r="G64" s="11" t="s">
        <v>24</v>
      </c>
      <c r="H64" s="1"/>
      <c r="I64" s="1"/>
      <c r="J64" s="1"/>
    </row>
    <row r="65" spans="1:10" x14ac:dyDescent="0.25">
      <c r="A65" s="8" t="s">
        <v>4433</v>
      </c>
      <c r="B65" s="8" t="s">
        <v>4541</v>
      </c>
      <c r="C65" s="31" t="s">
        <v>4542</v>
      </c>
      <c r="D65" s="8" t="s">
        <v>1877</v>
      </c>
      <c r="E65" s="8" t="s">
        <v>4442</v>
      </c>
      <c r="F65" s="11" t="s">
        <v>24</v>
      </c>
      <c r="G65" s="11" t="s">
        <v>24</v>
      </c>
      <c r="H65" s="1"/>
      <c r="I65" s="1"/>
      <c r="J65" s="1"/>
    </row>
    <row r="66" spans="1:10" x14ac:dyDescent="0.25">
      <c r="A66" s="8" t="s">
        <v>4433</v>
      </c>
      <c r="B66" s="8" t="s">
        <v>4543</v>
      </c>
      <c r="C66" s="31" t="s">
        <v>2086</v>
      </c>
      <c r="D66" s="8" t="s">
        <v>1877</v>
      </c>
      <c r="E66" s="8" t="s">
        <v>4490</v>
      </c>
      <c r="F66" s="11" t="s">
        <v>195</v>
      </c>
      <c r="G66" s="11" t="s">
        <v>24</v>
      </c>
      <c r="H66" s="1"/>
      <c r="I66" s="1"/>
      <c r="J66" s="1"/>
    </row>
    <row r="67" spans="1:10" x14ac:dyDescent="0.25">
      <c r="A67" s="8" t="s">
        <v>4433</v>
      </c>
      <c r="B67" s="8" t="s">
        <v>4544</v>
      </c>
      <c r="C67" s="31" t="s">
        <v>4545</v>
      </c>
      <c r="D67" s="8" t="s">
        <v>1877</v>
      </c>
      <c r="E67" s="8" t="s">
        <v>4436</v>
      </c>
      <c r="F67" s="11" t="s">
        <v>24</v>
      </c>
      <c r="G67" s="11" t="s">
        <v>24</v>
      </c>
      <c r="H67" s="1"/>
      <c r="I67" s="1"/>
      <c r="J67" s="1"/>
    </row>
    <row r="68" spans="1:10" x14ac:dyDescent="0.25">
      <c r="A68" s="8" t="s">
        <v>4433</v>
      </c>
      <c r="B68" s="8" t="s">
        <v>4546</v>
      </c>
      <c r="C68" s="31" t="s">
        <v>4547</v>
      </c>
      <c r="D68" s="8" t="s">
        <v>1877</v>
      </c>
      <c r="E68" s="8" t="s">
        <v>4445</v>
      </c>
      <c r="F68" s="11" t="s">
        <v>24</v>
      </c>
      <c r="G68" s="11" t="s">
        <v>24</v>
      </c>
      <c r="H68" s="1"/>
      <c r="I68" s="1"/>
      <c r="J68" s="1"/>
    </row>
    <row r="69" spans="1:10" x14ac:dyDescent="0.25">
      <c r="A69" s="8" t="s">
        <v>4433</v>
      </c>
      <c r="B69" s="8" t="s">
        <v>4548</v>
      </c>
      <c r="C69" s="31" t="s">
        <v>4549</v>
      </c>
      <c r="D69" s="8" t="s">
        <v>1877</v>
      </c>
      <c r="E69" s="8" t="s">
        <v>4436</v>
      </c>
      <c r="F69" s="11" t="s">
        <v>24</v>
      </c>
      <c r="G69" s="11" t="s">
        <v>24</v>
      </c>
      <c r="H69" s="1"/>
      <c r="I69" s="1"/>
      <c r="J69" s="1"/>
    </row>
    <row r="70" spans="1:10" x14ac:dyDescent="0.25">
      <c r="A70" s="8" t="s">
        <v>4433</v>
      </c>
      <c r="B70" s="8" t="s">
        <v>4550</v>
      </c>
      <c r="C70" s="31" t="s">
        <v>2191</v>
      </c>
      <c r="D70" s="8" t="s">
        <v>1877</v>
      </c>
      <c r="E70" s="8" t="s">
        <v>4442</v>
      </c>
      <c r="F70" s="11" t="s">
        <v>24</v>
      </c>
      <c r="G70" s="11" t="s">
        <v>24</v>
      </c>
      <c r="H70" s="1"/>
      <c r="I70" s="1"/>
      <c r="J70" s="1"/>
    </row>
    <row r="71" spans="1:10" x14ac:dyDescent="0.25">
      <c r="A71" s="8" t="s">
        <v>4433</v>
      </c>
      <c r="B71" s="8" t="s">
        <v>4551</v>
      </c>
      <c r="C71" s="31" t="s">
        <v>4552</v>
      </c>
      <c r="D71" s="8" t="s">
        <v>1881</v>
      </c>
      <c r="E71" s="8" t="s">
        <v>4442</v>
      </c>
      <c r="F71" s="11" t="s">
        <v>195</v>
      </c>
      <c r="G71" s="11" t="s">
        <v>24</v>
      </c>
      <c r="H71" s="1"/>
      <c r="I71" s="1"/>
      <c r="J71" s="1"/>
    </row>
    <row r="72" spans="1:10" x14ac:dyDescent="0.25">
      <c r="A72" s="8" t="s">
        <v>4433</v>
      </c>
      <c r="B72" s="8" t="s">
        <v>4553</v>
      </c>
      <c r="C72" s="31" t="s">
        <v>4554</v>
      </c>
      <c r="D72" s="8" t="s">
        <v>1877</v>
      </c>
      <c r="E72" s="8" t="s">
        <v>4442</v>
      </c>
      <c r="F72" s="11" t="s">
        <v>24</v>
      </c>
      <c r="G72" s="11" t="s">
        <v>24</v>
      </c>
      <c r="H72" s="1"/>
      <c r="I72" s="1"/>
      <c r="J72" s="1"/>
    </row>
    <row r="73" spans="1:10" x14ac:dyDescent="0.25">
      <c r="A73" s="8" t="s">
        <v>4433</v>
      </c>
      <c r="B73" s="8" t="s">
        <v>4555</v>
      </c>
      <c r="C73" s="31" t="s">
        <v>4556</v>
      </c>
      <c r="D73" s="8" t="s">
        <v>1881</v>
      </c>
      <c r="E73" s="8" t="s">
        <v>4442</v>
      </c>
      <c r="F73" s="11" t="s">
        <v>24</v>
      </c>
      <c r="G73" s="11" t="s">
        <v>24</v>
      </c>
      <c r="H73" s="1"/>
      <c r="I73" s="1"/>
      <c r="J73" s="1"/>
    </row>
    <row r="74" spans="1:10" x14ac:dyDescent="0.25">
      <c r="A74" s="8" t="s">
        <v>4433</v>
      </c>
      <c r="B74" s="8" t="s">
        <v>4557</v>
      </c>
      <c r="C74" s="31" t="s">
        <v>4558</v>
      </c>
      <c r="D74" s="8" t="s">
        <v>1881</v>
      </c>
      <c r="E74" s="8" t="s">
        <v>4442</v>
      </c>
      <c r="F74" s="11" t="s">
        <v>195</v>
      </c>
      <c r="G74" s="11" t="s">
        <v>24</v>
      </c>
      <c r="H74" s="1"/>
      <c r="I74" s="1"/>
      <c r="J74" s="1"/>
    </row>
    <row r="75" spans="1:10" x14ac:dyDescent="0.25">
      <c r="A75" s="8" t="s">
        <v>4433</v>
      </c>
      <c r="B75" s="8" t="s">
        <v>4559</v>
      </c>
      <c r="C75" s="31" t="s">
        <v>4560</v>
      </c>
      <c r="D75" s="8" t="s">
        <v>1877</v>
      </c>
      <c r="E75" s="8" t="s">
        <v>4436</v>
      </c>
      <c r="F75" s="11" t="s">
        <v>24</v>
      </c>
      <c r="G75" s="11" t="s">
        <v>24</v>
      </c>
      <c r="H75" s="1"/>
      <c r="I75" s="1"/>
      <c r="J75" s="1"/>
    </row>
    <row r="76" spans="1:10" x14ac:dyDescent="0.25">
      <c r="A76" s="8" t="s">
        <v>4433</v>
      </c>
      <c r="B76" s="8" t="s">
        <v>4561</v>
      </c>
      <c r="C76" s="31" t="s">
        <v>4562</v>
      </c>
      <c r="D76" s="8" t="s">
        <v>1877</v>
      </c>
      <c r="E76" s="8" t="s">
        <v>4442</v>
      </c>
      <c r="F76" s="11" t="s">
        <v>195</v>
      </c>
      <c r="G76" s="11" t="s">
        <v>24</v>
      </c>
      <c r="H76" s="1"/>
      <c r="I76" s="1"/>
      <c r="J76" s="1"/>
    </row>
    <row r="77" spans="1:10" x14ac:dyDescent="0.25">
      <c r="A77" s="8" t="s">
        <v>4433</v>
      </c>
      <c r="B77" s="8" t="s">
        <v>4563</v>
      </c>
      <c r="C77" s="31" t="s">
        <v>1993</v>
      </c>
      <c r="D77" s="8" t="s">
        <v>1877</v>
      </c>
      <c r="E77" s="8" t="s">
        <v>4450</v>
      </c>
      <c r="F77" s="11" t="s">
        <v>24</v>
      </c>
      <c r="G77" s="11" t="s">
        <v>24</v>
      </c>
      <c r="H77" s="1"/>
      <c r="I77" s="1"/>
      <c r="J77" s="1"/>
    </row>
    <row r="78" spans="1:10" x14ac:dyDescent="0.25">
      <c r="A78" s="8" t="s">
        <v>4433</v>
      </c>
      <c r="B78" s="8" t="s">
        <v>4564</v>
      </c>
      <c r="C78" s="31" t="s">
        <v>2086</v>
      </c>
      <c r="D78" s="8" t="s">
        <v>1877</v>
      </c>
      <c r="E78" s="8" t="s">
        <v>4453</v>
      </c>
      <c r="F78" s="11" t="s">
        <v>24</v>
      </c>
      <c r="G78" s="11" t="s">
        <v>24</v>
      </c>
      <c r="H78" s="1"/>
      <c r="I78" s="1"/>
      <c r="J78" s="1"/>
    </row>
    <row r="79" spans="1:10" x14ac:dyDescent="0.25">
      <c r="A79" s="8" t="s">
        <v>4433</v>
      </c>
      <c r="B79" s="8" t="s">
        <v>4565</v>
      </c>
      <c r="C79" s="31" t="s">
        <v>4566</v>
      </c>
      <c r="D79" s="8" t="s">
        <v>1877</v>
      </c>
      <c r="E79" s="8" t="s">
        <v>4436</v>
      </c>
      <c r="F79" s="11" t="s">
        <v>24</v>
      </c>
      <c r="G79" s="11" t="s">
        <v>24</v>
      </c>
      <c r="H79" s="1"/>
      <c r="I79" s="1"/>
      <c r="J79" s="1"/>
    </row>
    <row r="80" spans="1:10" x14ac:dyDescent="0.25">
      <c r="A80" s="8" t="s">
        <v>4433</v>
      </c>
      <c r="B80" s="8" t="s">
        <v>4567</v>
      </c>
      <c r="C80" s="31" t="s">
        <v>4568</v>
      </c>
      <c r="D80" s="8" t="s">
        <v>1877</v>
      </c>
      <c r="E80" s="8" t="s">
        <v>4439</v>
      </c>
      <c r="F80" s="11" t="s">
        <v>24</v>
      </c>
      <c r="G80" s="11" t="s">
        <v>24</v>
      </c>
      <c r="H80" s="1"/>
      <c r="I80" s="1"/>
      <c r="J80" s="1"/>
    </row>
    <row r="81" spans="1:10" x14ac:dyDescent="0.25">
      <c r="A81" s="8" t="s">
        <v>4433</v>
      </c>
      <c r="B81" s="8" t="s">
        <v>4569</v>
      </c>
      <c r="C81" s="31" t="s">
        <v>4570</v>
      </c>
      <c r="D81" s="8" t="s">
        <v>1877</v>
      </c>
      <c r="E81" s="8" t="s">
        <v>4471</v>
      </c>
      <c r="F81" s="11" t="s">
        <v>24</v>
      </c>
      <c r="G81" s="11" t="s">
        <v>24</v>
      </c>
      <c r="H81" s="1"/>
      <c r="I81" s="1"/>
      <c r="J81" s="1"/>
    </row>
    <row r="82" spans="1:10" x14ac:dyDescent="0.25">
      <c r="A82" s="8" t="s">
        <v>4433</v>
      </c>
      <c r="B82" s="8" t="s">
        <v>4571</v>
      </c>
      <c r="C82" s="31">
        <v>2020</v>
      </c>
      <c r="D82" s="8" t="s">
        <v>1877</v>
      </c>
      <c r="E82" s="8" t="s">
        <v>4501</v>
      </c>
      <c r="F82" s="11" t="s">
        <v>24</v>
      </c>
      <c r="G82" s="11" t="s">
        <v>24</v>
      </c>
      <c r="H82" s="1"/>
      <c r="I82" s="1"/>
      <c r="J82" s="1"/>
    </row>
    <row r="83" spans="1:10" x14ac:dyDescent="0.25">
      <c r="A83" s="8" t="s">
        <v>4433</v>
      </c>
      <c r="B83" s="8" t="s">
        <v>4572</v>
      </c>
      <c r="C83" s="31" t="s">
        <v>4573</v>
      </c>
      <c r="D83" s="8" t="s">
        <v>1877</v>
      </c>
      <c r="E83" s="8" t="s">
        <v>4442</v>
      </c>
      <c r="F83" s="11" t="s">
        <v>24</v>
      </c>
      <c r="G83" s="11" t="s">
        <v>24</v>
      </c>
      <c r="H83" s="1"/>
      <c r="I83" s="1"/>
      <c r="J83" s="1"/>
    </row>
    <row r="84" spans="1:10" x14ac:dyDescent="0.25">
      <c r="A84" s="8" t="s">
        <v>4433</v>
      </c>
      <c r="B84" s="8" t="s">
        <v>4574</v>
      </c>
      <c r="C84" s="31" t="s">
        <v>4575</v>
      </c>
      <c r="D84" s="8" t="s">
        <v>1877</v>
      </c>
      <c r="E84" s="8" t="s">
        <v>4439</v>
      </c>
      <c r="F84" s="11" t="s">
        <v>24</v>
      </c>
      <c r="G84" s="11" t="s">
        <v>24</v>
      </c>
      <c r="H84" s="1"/>
      <c r="I84" s="1"/>
      <c r="J84" s="1"/>
    </row>
    <row r="85" spans="1:10" x14ac:dyDescent="0.25">
      <c r="A85" s="8" t="s">
        <v>4433</v>
      </c>
      <c r="B85" s="8" t="s">
        <v>4576</v>
      </c>
      <c r="C85" s="31" t="s">
        <v>4577</v>
      </c>
      <c r="D85" s="8" t="s">
        <v>1877</v>
      </c>
      <c r="E85" s="8" t="s">
        <v>4463</v>
      </c>
      <c r="F85" s="11" t="s">
        <v>24</v>
      </c>
      <c r="G85" s="11" t="s">
        <v>24</v>
      </c>
      <c r="H85" s="1"/>
      <c r="I85" s="1"/>
      <c r="J85" s="1"/>
    </row>
    <row r="86" spans="1:10" x14ac:dyDescent="0.25">
      <c r="A86" s="8" t="s">
        <v>4433</v>
      </c>
      <c r="B86" s="8" t="s">
        <v>4578</v>
      </c>
      <c r="C86" s="31" t="s">
        <v>4579</v>
      </c>
      <c r="D86" s="8" t="s">
        <v>1877</v>
      </c>
      <c r="E86" s="8" t="s">
        <v>4442</v>
      </c>
      <c r="F86" s="11" t="s">
        <v>24</v>
      </c>
      <c r="G86" s="11" t="s">
        <v>24</v>
      </c>
      <c r="H86" s="1"/>
      <c r="I86" s="1"/>
      <c r="J86" s="1"/>
    </row>
    <row r="87" spans="1:10" x14ac:dyDescent="0.25">
      <c r="A87" s="8" t="s">
        <v>4433</v>
      </c>
      <c r="B87" s="8" t="s">
        <v>4580</v>
      </c>
      <c r="C87" s="31" t="s">
        <v>4581</v>
      </c>
      <c r="D87" s="8" t="s">
        <v>1877</v>
      </c>
      <c r="E87" s="8" t="s">
        <v>4436</v>
      </c>
      <c r="F87" s="11" t="s">
        <v>24</v>
      </c>
      <c r="G87" s="11" t="s">
        <v>24</v>
      </c>
      <c r="H87" s="1"/>
      <c r="I87" s="1"/>
      <c r="J87" s="1"/>
    </row>
    <row r="88" spans="1:10" x14ac:dyDescent="0.25">
      <c r="A88" s="8" t="s">
        <v>4433</v>
      </c>
      <c r="B88" s="8" t="s">
        <v>4582</v>
      </c>
      <c r="C88" s="31" t="s">
        <v>4583</v>
      </c>
      <c r="D88" s="8" t="s">
        <v>1877</v>
      </c>
      <c r="E88" s="8" t="s">
        <v>4436</v>
      </c>
      <c r="F88" s="11" t="s">
        <v>24</v>
      </c>
      <c r="G88" s="11" t="s">
        <v>24</v>
      </c>
      <c r="H88" s="1"/>
      <c r="I88" s="1"/>
      <c r="J88" s="1"/>
    </row>
    <row r="89" spans="1:10" x14ac:dyDescent="0.25">
      <c r="A89" s="8" t="s">
        <v>4433</v>
      </c>
      <c r="B89" s="8" t="s">
        <v>4584</v>
      </c>
      <c r="C89" s="31" t="s">
        <v>4585</v>
      </c>
      <c r="D89" s="8" t="s">
        <v>1877</v>
      </c>
      <c r="E89" s="8" t="s">
        <v>4436</v>
      </c>
      <c r="F89" s="11" t="s">
        <v>24</v>
      </c>
      <c r="G89" s="11" t="s">
        <v>24</v>
      </c>
      <c r="H89" s="1"/>
      <c r="I89" s="1"/>
      <c r="J89" s="1"/>
    </row>
    <row r="90" spans="1:10" x14ac:dyDescent="0.25">
      <c r="A90" s="8" t="s">
        <v>4433</v>
      </c>
      <c r="B90" s="8" t="s">
        <v>4586</v>
      </c>
      <c r="C90" s="31" t="s">
        <v>4587</v>
      </c>
      <c r="D90" s="8" t="s">
        <v>1877</v>
      </c>
      <c r="E90" s="8" t="s">
        <v>4442</v>
      </c>
      <c r="F90" s="11" t="s">
        <v>195</v>
      </c>
      <c r="G90" s="11" t="s">
        <v>24</v>
      </c>
      <c r="H90" s="1"/>
      <c r="I90" s="1"/>
      <c r="J90" s="1"/>
    </row>
    <row r="91" spans="1:10" x14ac:dyDescent="0.25">
      <c r="A91" s="8" t="s">
        <v>4433</v>
      </c>
      <c r="B91" s="8" t="s">
        <v>4588</v>
      </c>
      <c r="C91" s="31" t="s">
        <v>4589</v>
      </c>
      <c r="D91" s="8" t="s">
        <v>1881</v>
      </c>
      <c r="E91" s="8" t="s">
        <v>4442</v>
      </c>
      <c r="F91" s="11" t="s">
        <v>195</v>
      </c>
      <c r="G91" s="11" t="s">
        <v>24</v>
      </c>
      <c r="H91" s="1"/>
      <c r="I91" s="1"/>
      <c r="J91" s="1"/>
    </row>
    <row r="92" spans="1:10" x14ac:dyDescent="0.25">
      <c r="A92" s="8" t="s">
        <v>4433</v>
      </c>
      <c r="B92" s="8" t="s">
        <v>4590</v>
      </c>
      <c r="C92" s="31" t="s">
        <v>4591</v>
      </c>
      <c r="D92" s="8" t="s">
        <v>1877</v>
      </c>
      <c r="E92" s="8" t="s">
        <v>4463</v>
      </c>
      <c r="F92" s="11" t="s">
        <v>24</v>
      </c>
      <c r="G92" s="11" t="s">
        <v>24</v>
      </c>
      <c r="H92" s="1"/>
      <c r="I92" s="1"/>
      <c r="J92" s="1"/>
    </row>
    <row r="93" spans="1:10" x14ac:dyDescent="0.25">
      <c r="A93" s="8" t="s">
        <v>4433</v>
      </c>
      <c r="B93" s="8" t="s">
        <v>4592</v>
      </c>
      <c r="C93" s="31" t="s">
        <v>4593</v>
      </c>
      <c r="D93" s="8" t="s">
        <v>1877</v>
      </c>
      <c r="E93" s="8" t="s">
        <v>4442</v>
      </c>
      <c r="F93" s="11" t="s">
        <v>195</v>
      </c>
      <c r="G93" s="11" t="s">
        <v>24</v>
      </c>
      <c r="H93" s="1"/>
      <c r="I93" s="1"/>
      <c r="J93" s="1"/>
    </row>
    <row r="94" spans="1:10" x14ac:dyDescent="0.25">
      <c r="A94" s="8" t="s">
        <v>4433</v>
      </c>
      <c r="B94" s="8" t="s">
        <v>4594</v>
      </c>
      <c r="C94" s="31" t="s">
        <v>4595</v>
      </c>
      <c r="D94" s="8" t="s">
        <v>1877</v>
      </c>
      <c r="E94" s="8" t="s">
        <v>4442</v>
      </c>
      <c r="F94" s="11" t="s">
        <v>195</v>
      </c>
      <c r="G94" s="11" t="s">
        <v>24</v>
      </c>
      <c r="H94" s="1"/>
      <c r="I94" s="1"/>
      <c r="J94" s="1"/>
    </row>
    <row r="95" spans="1:10" x14ac:dyDescent="0.25">
      <c r="A95" s="8" t="s">
        <v>4433</v>
      </c>
      <c r="B95" s="8" t="s">
        <v>4596</v>
      </c>
      <c r="C95" s="31" t="s">
        <v>4597</v>
      </c>
      <c r="D95" s="8" t="s">
        <v>1877</v>
      </c>
      <c r="E95" s="8" t="s">
        <v>4471</v>
      </c>
      <c r="F95" s="11" t="s">
        <v>24</v>
      </c>
      <c r="G95" s="11" t="s">
        <v>24</v>
      </c>
      <c r="H95" s="1"/>
      <c r="I95" s="1"/>
      <c r="J95" s="1"/>
    </row>
    <row r="96" spans="1:10" x14ac:dyDescent="0.25">
      <c r="A96" s="8" t="s">
        <v>4433</v>
      </c>
      <c r="B96" s="8" t="s">
        <v>4598</v>
      </c>
      <c r="C96" s="31" t="s">
        <v>4599</v>
      </c>
      <c r="D96" s="8" t="s">
        <v>1877</v>
      </c>
      <c r="E96" s="8" t="s">
        <v>4442</v>
      </c>
      <c r="F96" s="11" t="s">
        <v>195</v>
      </c>
      <c r="G96" s="11" t="s">
        <v>24</v>
      </c>
      <c r="H96" s="1"/>
      <c r="I96" s="1"/>
      <c r="J96" s="1"/>
    </row>
    <row r="97" spans="1:10" x14ac:dyDescent="0.25">
      <c r="A97" s="8" t="s">
        <v>4433</v>
      </c>
      <c r="B97" s="8" t="s">
        <v>4600</v>
      </c>
      <c r="C97" s="31" t="s">
        <v>4601</v>
      </c>
      <c r="D97" s="8" t="s">
        <v>1917</v>
      </c>
      <c r="E97" s="8" t="s">
        <v>4442</v>
      </c>
      <c r="F97" s="11" t="s">
        <v>24</v>
      </c>
      <c r="G97" s="11" t="s">
        <v>24</v>
      </c>
      <c r="H97" s="1"/>
      <c r="I97" s="1"/>
      <c r="J97" s="1"/>
    </row>
    <row r="98" spans="1:10" x14ac:dyDescent="0.25">
      <c r="A98" s="8" t="s">
        <v>4433</v>
      </c>
      <c r="B98" s="8" t="s">
        <v>4602</v>
      </c>
      <c r="C98" s="31" t="s">
        <v>4603</v>
      </c>
      <c r="D98" s="8" t="s">
        <v>1877</v>
      </c>
      <c r="E98" s="8" t="s">
        <v>4439</v>
      </c>
      <c r="F98" s="11" t="s">
        <v>24</v>
      </c>
      <c r="G98" s="11" t="s">
        <v>24</v>
      </c>
      <c r="H98" s="1"/>
      <c r="I98" s="1"/>
      <c r="J98" s="1"/>
    </row>
    <row r="99" spans="1:10" x14ac:dyDescent="0.25">
      <c r="A99" s="8" t="s">
        <v>4433</v>
      </c>
      <c r="B99" s="8" t="s">
        <v>4604</v>
      </c>
      <c r="C99" s="31" t="s">
        <v>2167</v>
      </c>
      <c r="D99" s="8" t="s">
        <v>1877</v>
      </c>
      <c r="E99" s="8" t="s">
        <v>4463</v>
      </c>
      <c r="F99" s="11" t="s">
        <v>24</v>
      </c>
      <c r="G99" s="11" t="s">
        <v>24</v>
      </c>
      <c r="H99" s="1"/>
      <c r="I99" s="1"/>
      <c r="J99" s="1"/>
    </row>
    <row r="100" spans="1:10" x14ac:dyDescent="0.25">
      <c r="A100" s="8" t="s">
        <v>4433</v>
      </c>
      <c r="B100" s="8" t="s">
        <v>4605</v>
      </c>
      <c r="C100" s="31" t="s">
        <v>4606</v>
      </c>
      <c r="D100" s="8" t="s">
        <v>1877</v>
      </c>
      <c r="E100" s="8" t="s">
        <v>4463</v>
      </c>
      <c r="F100" s="11" t="s">
        <v>24</v>
      </c>
      <c r="G100" s="11" t="s">
        <v>24</v>
      </c>
      <c r="H100" s="1"/>
      <c r="I100" s="1"/>
      <c r="J100" s="1"/>
    </row>
    <row r="101" spans="1:10" x14ac:dyDescent="0.25">
      <c r="A101" s="8" t="s">
        <v>4433</v>
      </c>
      <c r="B101" s="8" t="s">
        <v>4607</v>
      </c>
      <c r="C101" s="31" t="s">
        <v>4606</v>
      </c>
      <c r="D101" s="8" t="s">
        <v>1894</v>
      </c>
      <c r="E101" s="8" t="s">
        <v>4436</v>
      </c>
      <c r="F101" s="11" t="s">
        <v>24</v>
      </c>
      <c r="G101" s="11" t="s">
        <v>24</v>
      </c>
      <c r="H101" s="1"/>
      <c r="I101" s="1"/>
      <c r="J101" s="1"/>
    </row>
    <row r="102" spans="1:10" x14ac:dyDescent="0.25">
      <c r="A102" s="8" t="s">
        <v>4433</v>
      </c>
      <c r="B102" s="8" t="s">
        <v>4608</v>
      </c>
      <c r="C102" s="31" t="s">
        <v>4609</v>
      </c>
      <c r="D102" s="8" t="s">
        <v>1877</v>
      </c>
      <c r="E102" s="8" t="s">
        <v>4463</v>
      </c>
      <c r="F102" s="11" t="s">
        <v>24</v>
      </c>
      <c r="G102" s="11" t="s">
        <v>24</v>
      </c>
      <c r="H102" s="1"/>
      <c r="I102" s="1"/>
      <c r="J102" s="1"/>
    </row>
    <row r="103" spans="1:10" x14ac:dyDescent="0.25">
      <c r="A103" s="8" t="s">
        <v>4433</v>
      </c>
      <c r="B103" s="8" t="s">
        <v>4610</v>
      </c>
      <c r="C103" s="31" t="s">
        <v>4611</v>
      </c>
      <c r="D103" s="8" t="s">
        <v>1877</v>
      </c>
      <c r="E103" s="8" t="s">
        <v>4454</v>
      </c>
      <c r="F103" s="11" t="s">
        <v>24</v>
      </c>
      <c r="G103" s="11" t="s">
        <v>24</v>
      </c>
      <c r="H103" s="1"/>
      <c r="I103" s="1"/>
      <c r="J103" s="1"/>
    </row>
    <row r="104" spans="1:10" x14ac:dyDescent="0.25">
      <c r="A104" s="8" t="s">
        <v>4433</v>
      </c>
      <c r="B104" s="8" t="s">
        <v>4612</v>
      </c>
      <c r="C104" s="31" t="s">
        <v>4613</v>
      </c>
      <c r="D104" s="8" t="s">
        <v>1877</v>
      </c>
      <c r="E104" s="8" t="s">
        <v>4439</v>
      </c>
      <c r="F104" s="11" t="s">
        <v>24</v>
      </c>
      <c r="G104" s="11" t="s">
        <v>24</v>
      </c>
      <c r="H104" s="1"/>
      <c r="I104" s="1"/>
      <c r="J104" s="1"/>
    </row>
    <row r="105" spans="1:10" x14ac:dyDescent="0.25">
      <c r="A105" s="8" t="s">
        <v>4433</v>
      </c>
      <c r="B105" s="8" t="s">
        <v>4614</v>
      </c>
      <c r="C105" s="31" t="s">
        <v>4615</v>
      </c>
      <c r="D105" s="8" t="s">
        <v>1877</v>
      </c>
      <c r="E105" s="8" t="s">
        <v>4439</v>
      </c>
      <c r="F105" s="11" t="s">
        <v>24</v>
      </c>
      <c r="G105" s="11" t="s">
        <v>24</v>
      </c>
      <c r="H105" s="1"/>
      <c r="I105" s="1"/>
      <c r="J105" s="1"/>
    </row>
    <row r="106" spans="1:10" x14ac:dyDescent="0.25">
      <c r="A106" s="8" t="s">
        <v>4433</v>
      </c>
      <c r="B106" s="8" t="s">
        <v>4614</v>
      </c>
      <c r="C106" s="31" t="s">
        <v>4615</v>
      </c>
      <c r="D106" s="8" t="s">
        <v>1877</v>
      </c>
      <c r="E106" s="8" t="s">
        <v>4454</v>
      </c>
      <c r="F106" s="11" t="s">
        <v>24</v>
      </c>
      <c r="G106" s="11" t="s">
        <v>24</v>
      </c>
      <c r="H106" s="1"/>
      <c r="I106" s="1"/>
      <c r="J106" s="1"/>
    </row>
    <row r="107" spans="1:10" x14ac:dyDescent="0.25">
      <c r="A107" s="8" t="s">
        <v>4433</v>
      </c>
      <c r="B107" s="8" t="s">
        <v>4616</v>
      </c>
      <c r="C107" s="31" t="s">
        <v>4615</v>
      </c>
      <c r="D107" s="8" t="s">
        <v>1894</v>
      </c>
      <c r="E107" s="8" t="s">
        <v>4436</v>
      </c>
      <c r="F107" s="11" t="s">
        <v>24</v>
      </c>
      <c r="G107" s="11" t="s">
        <v>24</v>
      </c>
      <c r="H107" s="1"/>
      <c r="I107" s="1"/>
      <c r="J107" s="1"/>
    </row>
    <row r="108" spans="1:10" x14ac:dyDescent="0.25">
      <c r="A108" s="8" t="s">
        <v>4433</v>
      </c>
      <c r="B108" s="8" t="s">
        <v>4617</v>
      </c>
      <c r="C108" s="31" t="s">
        <v>4618</v>
      </c>
      <c r="D108" s="8" t="s">
        <v>1877</v>
      </c>
      <c r="E108" s="8" t="s">
        <v>4442</v>
      </c>
      <c r="F108" s="11" t="s">
        <v>24</v>
      </c>
      <c r="G108" s="11" t="s">
        <v>24</v>
      </c>
      <c r="H108" s="1"/>
      <c r="I108" s="1"/>
      <c r="J108" s="1"/>
    </row>
    <row r="109" spans="1:10" x14ac:dyDescent="0.25">
      <c r="A109" s="8" t="s">
        <v>4433</v>
      </c>
      <c r="B109" s="8" t="s">
        <v>4619</v>
      </c>
      <c r="C109" s="31" t="s">
        <v>4620</v>
      </c>
      <c r="D109" s="8" t="s">
        <v>1877</v>
      </c>
      <c r="E109" s="8" t="s">
        <v>4454</v>
      </c>
      <c r="F109" s="11" t="s">
        <v>24</v>
      </c>
      <c r="G109" s="11" t="s">
        <v>24</v>
      </c>
      <c r="H109" s="1"/>
      <c r="I109" s="1"/>
      <c r="J109" s="1"/>
    </row>
    <row r="110" spans="1:10" x14ac:dyDescent="0.25">
      <c r="A110" s="8" t="s">
        <v>4433</v>
      </c>
      <c r="B110" s="8" t="s">
        <v>4621</v>
      </c>
      <c r="C110" s="31" t="s">
        <v>4622</v>
      </c>
      <c r="D110" s="8" t="s">
        <v>1877</v>
      </c>
      <c r="E110" s="8" t="s">
        <v>4454</v>
      </c>
      <c r="F110" s="11" t="s">
        <v>24</v>
      </c>
      <c r="G110" s="11" t="s">
        <v>24</v>
      </c>
      <c r="H110" s="1"/>
      <c r="I110" s="1"/>
      <c r="J110" s="1"/>
    </row>
    <row r="111" spans="1:10" x14ac:dyDescent="0.25">
      <c r="A111" s="8" t="s">
        <v>4433</v>
      </c>
      <c r="B111" s="8" t="s">
        <v>4623</v>
      </c>
      <c r="C111" s="31" t="s">
        <v>4624</v>
      </c>
      <c r="D111" s="8" t="s">
        <v>1877</v>
      </c>
      <c r="E111" s="8" t="s">
        <v>4436</v>
      </c>
      <c r="F111" s="11" t="s">
        <v>24</v>
      </c>
      <c r="G111" s="11" t="s">
        <v>24</v>
      </c>
      <c r="H111" s="1"/>
      <c r="I111" s="1"/>
      <c r="J111" s="1"/>
    </row>
    <row r="112" spans="1:10" x14ac:dyDescent="0.25">
      <c r="A112" s="8" t="s">
        <v>4433</v>
      </c>
      <c r="B112" s="8" t="s">
        <v>4625</v>
      </c>
      <c r="C112" s="31" t="s">
        <v>4626</v>
      </c>
      <c r="D112" s="8" t="s">
        <v>1877</v>
      </c>
      <c r="E112" s="8" t="s">
        <v>4439</v>
      </c>
      <c r="F112" s="11" t="s">
        <v>24</v>
      </c>
      <c r="G112" s="11" t="s">
        <v>24</v>
      </c>
      <c r="H112" s="1"/>
      <c r="I112" s="1"/>
      <c r="J112" s="1"/>
    </row>
    <row r="113" spans="1:10" x14ac:dyDescent="0.25">
      <c r="A113" s="8" t="s">
        <v>4433</v>
      </c>
      <c r="B113" s="8" t="s">
        <v>4627</v>
      </c>
      <c r="C113" s="31" t="s">
        <v>4628</v>
      </c>
      <c r="D113" s="8" t="s">
        <v>1877</v>
      </c>
      <c r="E113" s="8" t="s">
        <v>4436</v>
      </c>
      <c r="F113" s="11" t="s">
        <v>24</v>
      </c>
      <c r="G113" s="11" t="s">
        <v>24</v>
      </c>
      <c r="H113" s="1"/>
      <c r="I113" s="1"/>
      <c r="J113" s="1"/>
    </row>
    <row r="114" spans="1:10" x14ac:dyDescent="0.25">
      <c r="A114" s="8" t="s">
        <v>4433</v>
      </c>
      <c r="B114" s="8" t="s">
        <v>4629</v>
      </c>
      <c r="C114" s="31" t="s">
        <v>4630</v>
      </c>
      <c r="D114" s="8" t="s">
        <v>1894</v>
      </c>
      <c r="E114" s="8" t="s">
        <v>4454</v>
      </c>
      <c r="F114" s="11" t="s">
        <v>24</v>
      </c>
      <c r="G114" s="11" t="s">
        <v>24</v>
      </c>
      <c r="H114" s="1"/>
      <c r="I114" s="1"/>
      <c r="J114" s="1"/>
    </row>
    <row r="115" spans="1:10" x14ac:dyDescent="0.25">
      <c r="A115" s="8" t="s">
        <v>4433</v>
      </c>
      <c r="B115" s="8" t="s">
        <v>4631</v>
      </c>
      <c r="C115" s="31" t="s">
        <v>4492</v>
      </c>
      <c r="D115" s="8" t="s">
        <v>1877</v>
      </c>
      <c r="E115" s="8" t="s">
        <v>4436</v>
      </c>
      <c r="F115" s="11" t="s">
        <v>24</v>
      </c>
      <c r="G115" s="11" t="s">
        <v>24</v>
      </c>
      <c r="H115" s="1"/>
      <c r="I115" s="1"/>
      <c r="J115" s="1"/>
    </row>
    <row r="116" spans="1:10" x14ac:dyDescent="0.25">
      <c r="A116" s="8" t="s">
        <v>4433</v>
      </c>
      <c r="B116" s="8" t="s">
        <v>4632</v>
      </c>
      <c r="C116" s="31" t="s">
        <v>4633</v>
      </c>
      <c r="D116" s="8" t="s">
        <v>1877</v>
      </c>
      <c r="E116" s="8" t="s">
        <v>4439</v>
      </c>
      <c r="F116" s="11" t="s">
        <v>24</v>
      </c>
      <c r="G116" s="11" t="s">
        <v>24</v>
      </c>
      <c r="H116" s="1"/>
      <c r="I116" s="1"/>
      <c r="J116" s="1"/>
    </row>
    <row r="117" spans="1:10" x14ac:dyDescent="0.25">
      <c r="A117" s="8" t="s">
        <v>4433</v>
      </c>
      <c r="B117" s="8" t="s">
        <v>4634</v>
      </c>
      <c r="C117" s="31" t="s">
        <v>4635</v>
      </c>
      <c r="D117" s="8" t="s">
        <v>1877</v>
      </c>
      <c r="E117" s="8" t="s">
        <v>4468</v>
      </c>
      <c r="F117" s="11" t="s">
        <v>24</v>
      </c>
      <c r="G117" s="11" t="s">
        <v>24</v>
      </c>
      <c r="H117" s="1"/>
      <c r="I117" s="1"/>
      <c r="J117" s="1"/>
    </row>
    <row r="118" spans="1:10" x14ac:dyDescent="0.25">
      <c r="A118" s="8" t="s">
        <v>4433</v>
      </c>
      <c r="B118" s="8" t="s">
        <v>4636</v>
      </c>
      <c r="C118" s="31" t="s">
        <v>4637</v>
      </c>
      <c r="D118" s="8" t="s">
        <v>1877</v>
      </c>
      <c r="E118" s="8" t="s">
        <v>4450</v>
      </c>
      <c r="F118" s="11" t="s">
        <v>24</v>
      </c>
      <c r="G118" s="11" t="s">
        <v>24</v>
      </c>
      <c r="H118" s="1"/>
      <c r="I118" s="1"/>
      <c r="J118" s="1"/>
    </row>
    <row r="119" spans="1:10" x14ac:dyDescent="0.25">
      <c r="A119" s="8" t="s">
        <v>4433</v>
      </c>
      <c r="B119" s="8" t="s">
        <v>4638</v>
      </c>
      <c r="C119" s="31" t="s">
        <v>4639</v>
      </c>
      <c r="D119" s="8" t="s">
        <v>1877</v>
      </c>
      <c r="E119" s="8" t="s">
        <v>4439</v>
      </c>
      <c r="F119" s="11" t="s">
        <v>24</v>
      </c>
      <c r="G119" s="11" t="s">
        <v>24</v>
      </c>
      <c r="H119" s="1"/>
      <c r="I119" s="1"/>
      <c r="J119" s="1"/>
    </row>
    <row r="120" spans="1:10" x14ac:dyDescent="0.25">
      <c r="A120" s="8" t="s">
        <v>4433</v>
      </c>
      <c r="B120" s="8" t="s">
        <v>4640</v>
      </c>
      <c r="C120" s="31" t="s">
        <v>4641</v>
      </c>
      <c r="D120" s="8" t="s">
        <v>1877</v>
      </c>
      <c r="E120" s="8" t="s">
        <v>4439</v>
      </c>
      <c r="F120" s="11" t="s">
        <v>24</v>
      </c>
      <c r="G120" s="11" t="s">
        <v>24</v>
      </c>
      <c r="H120" s="1"/>
      <c r="I120" s="1"/>
      <c r="J120" s="1"/>
    </row>
    <row r="121" spans="1:10" x14ac:dyDescent="0.25">
      <c r="A121" s="8" t="s">
        <v>4433</v>
      </c>
      <c r="B121" s="8" t="s">
        <v>4642</v>
      </c>
      <c r="C121" s="31" t="s">
        <v>4643</v>
      </c>
      <c r="D121" s="8" t="s">
        <v>1877</v>
      </c>
      <c r="E121" s="8" t="s">
        <v>4436</v>
      </c>
      <c r="F121" s="11" t="s">
        <v>24</v>
      </c>
      <c r="G121" s="11" t="s">
        <v>24</v>
      </c>
      <c r="H121" s="1"/>
      <c r="I121" s="1"/>
      <c r="J121" s="1"/>
    </row>
    <row r="122" spans="1:10" x14ac:dyDescent="0.25">
      <c r="A122" s="8" t="s">
        <v>4433</v>
      </c>
      <c r="B122" s="8" t="s">
        <v>4644</v>
      </c>
      <c r="C122" s="31" t="s">
        <v>4645</v>
      </c>
      <c r="D122" s="8" t="s">
        <v>1877</v>
      </c>
      <c r="E122" s="8" t="s">
        <v>4450</v>
      </c>
      <c r="F122" s="11" t="s">
        <v>24</v>
      </c>
      <c r="G122" s="11" t="s">
        <v>24</v>
      </c>
      <c r="H122" s="1"/>
      <c r="I122" s="1"/>
      <c r="J122" s="1"/>
    </row>
    <row r="123" spans="1:10" x14ac:dyDescent="0.25">
      <c r="A123" s="8" t="s">
        <v>4433</v>
      </c>
      <c r="B123" s="8" t="s">
        <v>4646</v>
      </c>
      <c r="C123" s="31" t="s">
        <v>4647</v>
      </c>
      <c r="D123" s="8" t="s">
        <v>1877</v>
      </c>
      <c r="E123" s="8" t="s">
        <v>4450</v>
      </c>
      <c r="F123" s="11" t="s">
        <v>24</v>
      </c>
      <c r="G123" s="11" t="s">
        <v>24</v>
      </c>
      <c r="H123" s="1"/>
      <c r="I123" s="1"/>
      <c r="J123" s="1"/>
    </row>
    <row r="124" spans="1:10" x14ac:dyDescent="0.25">
      <c r="A124" s="8" t="s">
        <v>4433</v>
      </c>
      <c r="B124" s="8" t="s">
        <v>4648</v>
      </c>
      <c r="C124" s="31" t="s">
        <v>4649</v>
      </c>
      <c r="D124" s="8" t="s">
        <v>1877</v>
      </c>
      <c r="E124" s="8" t="s">
        <v>4450</v>
      </c>
      <c r="F124" s="11" t="s">
        <v>24</v>
      </c>
      <c r="G124" s="11" t="s">
        <v>24</v>
      </c>
      <c r="H124" s="1"/>
      <c r="I124" s="1"/>
      <c r="J124" s="1"/>
    </row>
    <row r="125" spans="1:10" x14ac:dyDescent="0.25">
      <c r="A125" s="8" t="s">
        <v>4433</v>
      </c>
      <c r="B125" s="8" t="s">
        <v>4650</v>
      </c>
      <c r="C125" s="31" t="s">
        <v>4651</v>
      </c>
      <c r="D125" s="8" t="s">
        <v>1877</v>
      </c>
      <c r="E125" s="8" t="s">
        <v>4450</v>
      </c>
      <c r="F125" s="11" t="s">
        <v>24</v>
      </c>
      <c r="G125" s="11" t="s">
        <v>24</v>
      </c>
      <c r="H125" s="1"/>
      <c r="I125" s="1"/>
      <c r="J125" s="1"/>
    </row>
    <row r="126" spans="1:10" x14ac:dyDescent="0.25">
      <c r="A126" s="8" t="s">
        <v>4433</v>
      </c>
      <c r="B126" s="8" t="s">
        <v>4652</v>
      </c>
      <c r="C126" s="31" t="s">
        <v>4653</v>
      </c>
      <c r="D126" s="8" t="s">
        <v>1877</v>
      </c>
      <c r="E126" s="8" t="s">
        <v>4540</v>
      </c>
      <c r="F126" s="11" t="s">
        <v>24</v>
      </c>
      <c r="G126" s="11" t="s">
        <v>24</v>
      </c>
      <c r="H126" s="1"/>
      <c r="I126" s="1"/>
      <c r="J126" s="1"/>
    </row>
    <row r="127" spans="1:10" x14ac:dyDescent="0.25">
      <c r="A127" s="8" t="s">
        <v>4433</v>
      </c>
      <c r="B127" s="8" t="s">
        <v>4654</v>
      </c>
      <c r="C127" s="31" t="s">
        <v>4655</v>
      </c>
      <c r="D127" s="8" t="s">
        <v>1877</v>
      </c>
      <c r="E127" s="8" t="s">
        <v>4442</v>
      </c>
      <c r="F127" s="11" t="s">
        <v>24</v>
      </c>
      <c r="G127" s="11" t="s">
        <v>24</v>
      </c>
      <c r="H127" s="1"/>
      <c r="I127" s="1"/>
      <c r="J127" s="1"/>
    </row>
    <row r="128" spans="1:10" x14ac:dyDescent="0.25">
      <c r="A128" s="8" t="s">
        <v>4433</v>
      </c>
      <c r="B128" s="8" t="s">
        <v>4656</v>
      </c>
      <c r="C128" s="31">
        <v>3988</v>
      </c>
      <c r="D128" s="8" t="s">
        <v>1877</v>
      </c>
      <c r="E128" s="8" t="s">
        <v>4501</v>
      </c>
      <c r="F128" s="11" t="s">
        <v>24</v>
      </c>
      <c r="G128" s="11" t="s">
        <v>24</v>
      </c>
      <c r="H128" s="1"/>
      <c r="I128" s="1"/>
      <c r="J128" s="1"/>
    </row>
    <row r="129" spans="1:10" x14ac:dyDescent="0.25">
      <c r="A129" s="8" t="s">
        <v>4433</v>
      </c>
      <c r="B129" s="8" t="s">
        <v>4657</v>
      </c>
      <c r="C129" s="31" t="s">
        <v>4658</v>
      </c>
      <c r="D129" s="8" t="s">
        <v>1877</v>
      </c>
      <c r="E129" s="8" t="s">
        <v>4499</v>
      </c>
      <c r="F129" s="11" t="s">
        <v>24</v>
      </c>
      <c r="G129" s="11" t="s">
        <v>24</v>
      </c>
      <c r="H129" s="1"/>
      <c r="I129" s="1"/>
      <c r="J129" s="1"/>
    </row>
    <row r="130" spans="1:10" x14ac:dyDescent="0.25">
      <c r="A130" s="8" t="s">
        <v>4433</v>
      </c>
      <c r="B130" s="8" t="s">
        <v>4659</v>
      </c>
      <c r="C130" s="31" t="s">
        <v>4660</v>
      </c>
      <c r="D130" s="8" t="s">
        <v>1877</v>
      </c>
      <c r="E130" s="8" t="s">
        <v>4442</v>
      </c>
      <c r="F130" s="11" t="s">
        <v>24</v>
      </c>
      <c r="G130" s="11" t="s">
        <v>24</v>
      </c>
      <c r="H130" s="1"/>
      <c r="I130" s="1"/>
      <c r="J130" s="1"/>
    </row>
    <row r="131" spans="1:10" x14ac:dyDescent="0.25">
      <c r="A131" s="8" t="s">
        <v>4433</v>
      </c>
      <c r="B131" s="8" t="s">
        <v>4661</v>
      </c>
      <c r="C131" s="31" t="s">
        <v>4662</v>
      </c>
      <c r="D131" s="8" t="s">
        <v>1877</v>
      </c>
      <c r="E131" s="8" t="s">
        <v>4499</v>
      </c>
      <c r="F131" s="11" t="s">
        <v>24</v>
      </c>
      <c r="G131" s="11" t="s">
        <v>24</v>
      </c>
      <c r="H131" s="1"/>
      <c r="I131" s="1"/>
      <c r="J131" s="1"/>
    </row>
    <row r="132" spans="1:10" x14ac:dyDescent="0.25">
      <c r="A132" s="8" t="s">
        <v>4433</v>
      </c>
      <c r="B132" s="8" t="s">
        <v>4663</v>
      </c>
      <c r="C132" s="31" t="s">
        <v>4664</v>
      </c>
      <c r="D132" s="8" t="s">
        <v>1877</v>
      </c>
      <c r="E132" s="8" t="s">
        <v>4439</v>
      </c>
      <c r="F132" s="11" t="s">
        <v>24</v>
      </c>
      <c r="G132" s="11" t="s">
        <v>24</v>
      </c>
      <c r="H132" s="1"/>
      <c r="I132" s="1"/>
      <c r="J132" s="1"/>
    </row>
    <row r="133" spans="1:10" x14ac:dyDescent="0.25">
      <c r="A133" s="8" t="s">
        <v>4433</v>
      </c>
      <c r="B133" s="8" t="s">
        <v>4665</v>
      </c>
      <c r="C133" s="31" t="s">
        <v>4666</v>
      </c>
      <c r="D133" s="8" t="s">
        <v>1877</v>
      </c>
      <c r="E133" s="8" t="s">
        <v>4471</v>
      </c>
      <c r="F133" s="11" t="s">
        <v>24</v>
      </c>
      <c r="G133" s="11" t="s">
        <v>24</v>
      </c>
      <c r="H133" s="1"/>
      <c r="I133" s="1"/>
      <c r="J133" s="1"/>
    </row>
    <row r="134" spans="1:10" x14ac:dyDescent="0.25">
      <c r="A134" s="8" t="s">
        <v>4433</v>
      </c>
      <c r="B134" s="8" t="s">
        <v>4667</v>
      </c>
      <c r="C134" s="31" t="s">
        <v>1904</v>
      </c>
      <c r="D134" s="8" t="s">
        <v>1877</v>
      </c>
      <c r="E134" s="8" t="s">
        <v>4499</v>
      </c>
      <c r="F134" s="11" t="s">
        <v>24</v>
      </c>
      <c r="G134" s="11" t="s">
        <v>24</v>
      </c>
      <c r="H134" s="1"/>
      <c r="I134" s="1"/>
      <c r="J134" s="1"/>
    </row>
    <row r="135" spans="1:10" x14ac:dyDescent="0.25">
      <c r="A135" s="8" t="s">
        <v>4433</v>
      </c>
      <c r="B135" s="8" t="s">
        <v>4667</v>
      </c>
      <c r="C135" s="31" t="s">
        <v>4668</v>
      </c>
      <c r="D135" s="8" t="s">
        <v>1877</v>
      </c>
      <c r="E135" s="8" t="s">
        <v>4442</v>
      </c>
      <c r="F135" s="11" t="s">
        <v>24</v>
      </c>
      <c r="G135" s="11" t="s">
        <v>24</v>
      </c>
      <c r="H135" s="1"/>
      <c r="I135" s="1"/>
      <c r="J135" s="1"/>
    </row>
    <row r="136" spans="1:10" x14ac:dyDescent="0.25">
      <c r="A136" s="8" t="s">
        <v>4433</v>
      </c>
      <c r="B136" s="8" t="s">
        <v>4669</v>
      </c>
      <c r="C136" s="31" t="s">
        <v>4670</v>
      </c>
      <c r="D136" s="8" t="s">
        <v>1877</v>
      </c>
      <c r="E136" s="8" t="s">
        <v>4473</v>
      </c>
      <c r="F136" s="11" t="s">
        <v>24</v>
      </c>
      <c r="G136" s="11" t="s">
        <v>24</v>
      </c>
      <c r="H136" s="1"/>
      <c r="I136" s="1"/>
      <c r="J136" s="1"/>
    </row>
    <row r="137" spans="1:10" x14ac:dyDescent="0.25">
      <c r="A137" s="8" t="s">
        <v>4433</v>
      </c>
      <c r="B137" s="8" t="s">
        <v>4671</v>
      </c>
      <c r="C137" s="31" t="s">
        <v>4672</v>
      </c>
      <c r="D137" s="8" t="s">
        <v>1877</v>
      </c>
      <c r="E137" s="8" t="s">
        <v>4445</v>
      </c>
      <c r="F137" s="11" t="s">
        <v>24</v>
      </c>
      <c r="G137" s="11" t="s">
        <v>24</v>
      </c>
      <c r="H137" s="1"/>
      <c r="I137" s="1"/>
      <c r="J137" s="1"/>
    </row>
    <row r="138" spans="1:10" x14ac:dyDescent="0.25">
      <c r="A138" s="8" t="s">
        <v>4433</v>
      </c>
      <c r="B138" s="8" t="s">
        <v>4673</v>
      </c>
      <c r="C138" s="31" t="s">
        <v>4674</v>
      </c>
      <c r="D138" s="8" t="s">
        <v>1877</v>
      </c>
      <c r="E138" s="8" t="s">
        <v>4442</v>
      </c>
      <c r="F138" s="11" t="s">
        <v>24</v>
      </c>
      <c r="G138" s="11" t="s">
        <v>24</v>
      </c>
      <c r="H138" s="1"/>
      <c r="I138" s="1"/>
      <c r="J138" s="1"/>
    </row>
    <row r="139" spans="1:10" x14ac:dyDescent="0.25">
      <c r="A139" s="8" t="s">
        <v>4433</v>
      </c>
      <c r="B139" s="8" t="s">
        <v>4675</v>
      </c>
      <c r="C139" s="31" t="s">
        <v>4676</v>
      </c>
      <c r="D139" s="8" t="s">
        <v>1877</v>
      </c>
      <c r="E139" s="8" t="s">
        <v>4473</v>
      </c>
      <c r="F139" s="11" t="s">
        <v>24</v>
      </c>
      <c r="G139" s="11" t="s">
        <v>24</v>
      </c>
      <c r="H139" s="1"/>
      <c r="I139" s="1"/>
      <c r="J139" s="1"/>
    </row>
    <row r="140" spans="1:10" x14ac:dyDescent="0.25">
      <c r="A140" s="8" t="s">
        <v>4433</v>
      </c>
      <c r="B140" s="8" t="s">
        <v>4677</v>
      </c>
      <c r="C140" s="31" t="s">
        <v>4678</v>
      </c>
      <c r="D140" s="8" t="s">
        <v>1877</v>
      </c>
      <c r="E140" s="8" t="s">
        <v>4473</v>
      </c>
      <c r="F140" s="11" t="s">
        <v>24</v>
      </c>
      <c r="G140" s="11" t="s">
        <v>24</v>
      </c>
      <c r="H140" s="1"/>
      <c r="I140" s="1"/>
      <c r="J140" s="1"/>
    </row>
    <row r="141" spans="1:10" x14ac:dyDescent="0.25">
      <c r="A141" s="8" t="s">
        <v>4433</v>
      </c>
      <c r="B141" s="8" t="s">
        <v>4679</v>
      </c>
      <c r="C141" s="31" t="s">
        <v>4680</v>
      </c>
      <c r="D141" s="8" t="s">
        <v>1877</v>
      </c>
      <c r="E141" s="8" t="s">
        <v>4499</v>
      </c>
      <c r="F141" s="11" t="s">
        <v>24</v>
      </c>
      <c r="G141" s="11" t="s">
        <v>24</v>
      </c>
      <c r="H141" s="1"/>
      <c r="I141" s="1"/>
      <c r="J141" s="1"/>
    </row>
    <row r="142" spans="1:10" x14ac:dyDescent="0.25">
      <c r="A142" s="8" t="s">
        <v>4433</v>
      </c>
      <c r="B142" s="8" t="s">
        <v>4681</v>
      </c>
      <c r="C142" s="31" t="s">
        <v>4682</v>
      </c>
      <c r="D142" s="8" t="s">
        <v>1877</v>
      </c>
      <c r="E142" s="8" t="s">
        <v>4463</v>
      </c>
      <c r="F142" s="11" t="s">
        <v>24</v>
      </c>
      <c r="G142" s="11" t="s">
        <v>24</v>
      </c>
      <c r="H142" s="1"/>
      <c r="I142" s="1"/>
      <c r="J142" s="1"/>
    </row>
    <row r="143" spans="1:10" x14ac:dyDescent="0.25">
      <c r="A143" s="8" t="s">
        <v>4433</v>
      </c>
      <c r="B143" s="8" t="s">
        <v>4683</v>
      </c>
      <c r="C143" s="31" t="s">
        <v>4684</v>
      </c>
      <c r="D143" s="8" t="s">
        <v>1877</v>
      </c>
      <c r="E143" s="8" t="s">
        <v>4436</v>
      </c>
      <c r="F143" s="11" t="s">
        <v>195</v>
      </c>
      <c r="G143" s="11" t="s">
        <v>24</v>
      </c>
      <c r="H143" s="1"/>
      <c r="I143" s="1"/>
      <c r="J143" s="1"/>
    </row>
    <row r="144" spans="1:10" x14ac:dyDescent="0.25">
      <c r="A144" s="8" t="s">
        <v>4433</v>
      </c>
      <c r="B144" s="8" t="s">
        <v>4685</v>
      </c>
      <c r="C144" s="31" t="s">
        <v>4686</v>
      </c>
      <c r="D144" s="8" t="s">
        <v>1877</v>
      </c>
      <c r="E144" s="8" t="s">
        <v>4439</v>
      </c>
      <c r="F144" s="11" t="s">
        <v>24</v>
      </c>
      <c r="G144" s="11" t="s">
        <v>24</v>
      </c>
      <c r="H144" s="1"/>
      <c r="I144" s="1"/>
      <c r="J144" s="1"/>
    </row>
    <row r="145" spans="1:10" x14ac:dyDescent="0.25">
      <c r="A145" s="8" t="s">
        <v>4433</v>
      </c>
      <c r="B145" s="8" t="s">
        <v>4687</v>
      </c>
      <c r="C145" s="31" t="s">
        <v>4688</v>
      </c>
      <c r="D145" s="8" t="s">
        <v>1877</v>
      </c>
      <c r="E145" s="8" t="s">
        <v>4473</v>
      </c>
      <c r="F145" s="11" t="s">
        <v>24</v>
      </c>
      <c r="G145" s="11" t="s">
        <v>24</v>
      </c>
      <c r="H145" s="1"/>
      <c r="I145" s="1"/>
      <c r="J145" s="1"/>
    </row>
    <row r="146" spans="1:10" x14ac:dyDescent="0.25">
      <c r="A146" s="8" t="s">
        <v>4433</v>
      </c>
      <c r="B146" s="8" t="s">
        <v>4689</v>
      </c>
      <c r="C146" s="31" t="s">
        <v>4690</v>
      </c>
      <c r="D146" s="8" t="s">
        <v>1877</v>
      </c>
      <c r="E146" s="8" t="s">
        <v>4439</v>
      </c>
      <c r="F146" s="11" t="s">
        <v>24</v>
      </c>
      <c r="G146" s="11" t="s">
        <v>24</v>
      </c>
      <c r="H146" s="1"/>
      <c r="I146" s="1"/>
      <c r="J146" s="1"/>
    </row>
    <row r="147" spans="1:10" x14ac:dyDescent="0.25">
      <c r="A147" s="8" t="s">
        <v>4433</v>
      </c>
      <c r="B147" s="8" t="s">
        <v>4691</v>
      </c>
      <c r="C147" s="31" t="s">
        <v>4692</v>
      </c>
      <c r="D147" s="8" t="s">
        <v>1877</v>
      </c>
      <c r="E147" s="8" t="s">
        <v>4442</v>
      </c>
      <c r="F147" s="11" t="s">
        <v>195</v>
      </c>
      <c r="G147" s="11" t="s">
        <v>24</v>
      </c>
      <c r="H147" s="1"/>
      <c r="I147" s="1"/>
      <c r="J147" s="1"/>
    </row>
    <row r="148" spans="1:10" x14ac:dyDescent="0.25">
      <c r="A148" s="8" t="s">
        <v>4433</v>
      </c>
      <c r="B148" s="8" t="s">
        <v>4693</v>
      </c>
      <c r="C148" s="31" t="s">
        <v>4694</v>
      </c>
      <c r="D148" s="8" t="s">
        <v>1877</v>
      </c>
      <c r="E148" s="8" t="s">
        <v>4442</v>
      </c>
      <c r="F148" s="11" t="s">
        <v>24</v>
      </c>
      <c r="G148" s="11" t="s">
        <v>24</v>
      </c>
      <c r="H148" s="1"/>
      <c r="I148" s="1"/>
      <c r="J148" s="1"/>
    </row>
    <row r="149" spans="1:10" x14ac:dyDescent="0.25">
      <c r="A149" s="8" t="s">
        <v>4433</v>
      </c>
      <c r="B149" s="8" t="s">
        <v>4695</v>
      </c>
      <c r="C149" s="31" t="s">
        <v>4696</v>
      </c>
      <c r="D149" s="8" t="s">
        <v>1877</v>
      </c>
      <c r="E149" s="8" t="s">
        <v>4436</v>
      </c>
      <c r="F149" s="11" t="s">
        <v>24</v>
      </c>
      <c r="G149" s="11" t="s">
        <v>24</v>
      </c>
      <c r="H149" s="1"/>
      <c r="I149" s="1"/>
      <c r="J149" s="1"/>
    </row>
    <row r="150" spans="1:10" x14ac:dyDescent="0.25">
      <c r="A150" s="8" t="s">
        <v>4433</v>
      </c>
      <c r="B150" s="8" t="s">
        <v>4697</v>
      </c>
      <c r="C150" s="31">
        <v>3010</v>
      </c>
      <c r="D150" s="8" t="s">
        <v>1917</v>
      </c>
      <c r="E150" s="8" t="s">
        <v>4501</v>
      </c>
      <c r="F150" s="11" t="s">
        <v>195</v>
      </c>
      <c r="G150" s="11" t="s">
        <v>24</v>
      </c>
      <c r="H150" s="1"/>
      <c r="I150" s="1"/>
      <c r="J150" s="1"/>
    </row>
    <row r="151" spans="1:10" x14ac:dyDescent="0.25">
      <c r="A151" s="8" t="s">
        <v>4433</v>
      </c>
      <c r="B151" s="8" t="s">
        <v>4698</v>
      </c>
      <c r="C151" s="31" t="s">
        <v>4699</v>
      </c>
      <c r="D151" s="8" t="s">
        <v>1877</v>
      </c>
      <c r="E151" s="8" t="s">
        <v>4442</v>
      </c>
      <c r="F151" s="11" t="s">
        <v>24</v>
      </c>
      <c r="G151" s="11" t="s">
        <v>24</v>
      </c>
      <c r="H151" s="1"/>
      <c r="I151" s="1"/>
      <c r="J151" s="1"/>
    </row>
    <row r="152" spans="1:10" x14ac:dyDescent="0.25">
      <c r="A152" s="8" t="s">
        <v>4433</v>
      </c>
      <c r="B152" s="8" t="s">
        <v>4700</v>
      </c>
      <c r="C152" s="31">
        <v>1475</v>
      </c>
      <c r="D152" s="8" t="s">
        <v>1917</v>
      </c>
      <c r="E152" s="8" t="s">
        <v>4701</v>
      </c>
      <c r="F152" s="11" t="s">
        <v>195</v>
      </c>
      <c r="G152" s="11" t="s">
        <v>24</v>
      </c>
      <c r="H152" s="1"/>
      <c r="I152" s="1"/>
      <c r="J152" s="1"/>
    </row>
    <row r="153" spans="1:10" x14ac:dyDescent="0.25">
      <c r="A153" s="8" t="s">
        <v>4433</v>
      </c>
      <c r="B153" s="8" t="s">
        <v>4702</v>
      </c>
      <c r="C153" s="31" t="s">
        <v>2408</v>
      </c>
      <c r="D153" s="8" t="s">
        <v>1877</v>
      </c>
      <c r="E153" s="8" t="s">
        <v>4442</v>
      </c>
      <c r="F153" s="11" t="s">
        <v>195</v>
      </c>
      <c r="G153" s="11" t="s">
        <v>24</v>
      </c>
      <c r="H153" s="1"/>
      <c r="I153" s="1"/>
      <c r="J153" s="1"/>
    </row>
    <row r="154" spans="1:10" x14ac:dyDescent="0.25">
      <c r="A154" s="8" t="s">
        <v>4433</v>
      </c>
      <c r="B154" s="8" t="s">
        <v>4703</v>
      </c>
      <c r="C154" s="31" t="s">
        <v>4704</v>
      </c>
      <c r="D154" s="8" t="s">
        <v>1877</v>
      </c>
      <c r="E154" s="8" t="s">
        <v>4468</v>
      </c>
      <c r="F154" s="11" t="s">
        <v>24</v>
      </c>
      <c r="G154" s="11" t="s">
        <v>24</v>
      </c>
      <c r="H154" s="1"/>
      <c r="I154" s="1"/>
      <c r="J154" s="1"/>
    </row>
    <row r="155" spans="1:10" x14ac:dyDescent="0.25">
      <c r="A155" s="8" t="s">
        <v>4433</v>
      </c>
      <c r="B155" s="8" t="s">
        <v>4705</v>
      </c>
      <c r="C155" s="31">
        <v>2388</v>
      </c>
      <c r="D155" s="8" t="s">
        <v>1877</v>
      </c>
      <c r="E155" s="8" t="s">
        <v>4501</v>
      </c>
      <c r="F155" s="11" t="s">
        <v>24</v>
      </c>
      <c r="G155" s="11" t="s">
        <v>24</v>
      </c>
      <c r="H155" s="1"/>
      <c r="I155" s="1"/>
      <c r="J155" s="1"/>
    </row>
    <row r="156" spans="1:10" x14ac:dyDescent="0.25">
      <c r="A156" s="8" t="s">
        <v>4433</v>
      </c>
      <c r="B156" s="8" t="s">
        <v>4706</v>
      </c>
      <c r="C156" s="31" t="s">
        <v>4707</v>
      </c>
      <c r="D156" s="8" t="s">
        <v>1877</v>
      </c>
      <c r="E156" s="8" t="s">
        <v>4442</v>
      </c>
      <c r="F156" s="11" t="s">
        <v>24</v>
      </c>
      <c r="G156" s="11" t="s">
        <v>24</v>
      </c>
      <c r="H156" s="1"/>
      <c r="I156" s="1"/>
      <c r="J156" s="1"/>
    </row>
    <row r="157" spans="1:10" x14ac:dyDescent="0.25">
      <c r="A157" s="8" t="s">
        <v>4433</v>
      </c>
      <c r="B157" s="8" t="s">
        <v>4708</v>
      </c>
      <c r="C157" s="31" t="s">
        <v>2414</v>
      </c>
      <c r="D157" s="8" t="s">
        <v>1877</v>
      </c>
      <c r="E157" s="8" t="s">
        <v>4454</v>
      </c>
      <c r="F157" s="11" t="s">
        <v>24</v>
      </c>
      <c r="G157" s="11" t="s">
        <v>24</v>
      </c>
      <c r="H157" s="1"/>
      <c r="I157" s="1"/>
      <c r="J157" s="1"/>
    </row>
    <row r="158" spans="1:10" x14ac:dyDescent="0.25">
      <c r="A158" s="8" t="s">
        <v>4433</v>
      </c>
      <c r="B158" s="8" t="s">
        <v>4709</v>
      </c>
      <c r="C158" s="31" t="s">
        <v>4710</v>
      </c>
      <c r="D158" s="8" t="s">
        <v>1877</v>
      </c>
      <c r="E158" s="8" t="s">
        <v>4436</v>
      </c>
      <c r="F158" s="11" t="s">
        <v>24</v>
      </c>
      <c r="G158" s="11" t="s">
        <v>24</v>
      </c>
      <c r="H158" s="1"/>
      <c r="I158" s="1"/>
      <c r="J158" s="1"/>
    </row>
    <row r="159" spans="1:10" x14ac:dyDescent="0.25">
      <c r="A159" s="8" t="s">
        <v>4433</v>
      </c>
      <c r="B159" s="8" t="s">
        <v>4711</v>
      </c>
      <c r="C159" s="31" t="s">
        <v>4712</v>
      </c>
      <c r="D159" s="8" t="s">
        <v>1877</v>
      </c>
      <c r="E159" s="8" t="s">
        <v>4442</v>
      </c>
      <c r="F159" s="11" t="s">
        <v>195</v>
      </c>
      <c r="G159" s="11" t="s">
        <v>24</v>
      </c>
      <c r="H159" s="1"/>
      <c r="I159" s="1"/>
      <c r="J159" s="1"/>
    </row>
    <row r="160" spans="1:10" x14ac:dyDescent="0.25">
      <c r="A160" s="8" t="s">
        <v>4433</v>
      </c>
      <c r="B160" s="8" t="s">
        <v>4713</v>
      </c>
      <c r="C160" s="31" t="s">
        <v>2404</v>
      </c>
      <c r="D160" s="8" t="s">
        <v>1877</v>
      </c>
      <c r="E160" s="8" t="s">
        <v>4442</v>
      </c>
      <c r="F160" s="11" t="s">
        <v>195</v>
      </c>
      <c r="G160" s="11" t="s">
        <v>24</v>
      </c>
      <c r="H160" s="1"/>
      <c r="I160" s="1"/>
      <c r="J160" s="1"/>
    </row>
    <row r="161" spans="1:10" x14ac:dyDescent="0.25">
      <c r="A161" s="8" t="s">
        <v>4433</v>
      </c>
      <c r="B161" s="8" t="s">
        <v>4714</v>
      </c>
      <c r="C161" s="31" t="s">
        <v>4715</v>
      </c>
      <c r="D161" s="8" t="s">
        <v>1877</v>
      </c>
      <c r="E161" s="8" t="s">
        <v>4468</v>
      </c>
      <c r="F161" s="11" t="s">
        <v>24</v>
      </c>
      <c r="G161" s="11" t="s">
        <v>24</v>
      </c>
      <c r="H161" s="1"/>
      <c r="I161" s="1"/>
      <c r="J161" s="1"/>
    </row>
    <row r="162" spans="1:10" x14ac:dyDescent="0.25">
      <c r="A162" s="8" t="s">
        <v>4433</v>
      </c>
      <c r="B162" s="8" t="s">
        <v>4716</v>
      </c>
      <c r="C162" s="31" t="s">
        <v>4717</v>
      </c>
      <c r="D162" s="8" t="s">
        <v>1877</v>
      </c>
      <c r="E162" s="8" t="s">
        <v>4439</v>
      </c>
      <c r="F162" s="11" t="s">
        <v>24</v>
      </c>
      <c r="G162" s="11" t="s">
        <v>24</v>
      </c>
      <c r="H162" s="1"/>
      <c r="I162" s="1"/>
      <c r="J162" s="1"/>
    </row>
    <row r="163" spans="1:10" x14ac:dyDescent="0.25">
      <c r="A163" s="8" t="s">
        <v>4433</v>
      </c>
      <c r="B163" s="8" t="s">
        <v>4718</v>
      </c>
      <c r="C163" s="31" t="s">
        <v>4719</v>
      </c>
      <c r="D163" s="8" t="s">
        <v>1877</v>
      </c>
      <c r="E163" s="8" t="s">
        <v>4450</v>
      </c>
      <c r="F163" s="11" t="s">
        <v>24</v>
      </c>
      <c r="G163" s="11" t="s">
        <v>24</v>
      </c>
      <c r="H163" s="1"/>
      <c r="I163" s="1"/>
      <c r="J163" s="1"/>
    </row>
    <row r="164" spans="1:10" x14ac:dyDescent="0.25">
      <c r="A164" s="8" t="s">
        <v>4433</v>
      </c>
      <c r="B164" s="8" t="s">
        <v>4720</v>
      </c>
      <c r="C164" s="31" t="s">
        <v>4721</v>
      </c>
      <c r="D164" s="8" t="s">
        <v>1877</v>
      </c>
      <c r="E164" s="8" t="s">
        <v>4473</v>
      </c>
      <c r="F164" s="11" t="s">
        <v>24</v>
      </c>
      <c r="G164" s="11" t="s">
        <v>24</v>
      </c>
      <c r="H164" s="1"/>
      <c r="I164" s="1"/>
      <c r="J164" s="1"/>
    </row>
    <row r="165" spans="1:10" x14ac:dyDescent="0.25">
      <c r="A165" s="8" t="s">
        <v>4433</v>
      </c>
      <c r="B165" s="8" t="s">
        <v>4722</v>
      </c>
      <c r="C165" s="31" t="s">
        <v>4723</v>
      </c>
      <c r="D165" s="8" t="s">
        <v>1877</v>
      </c>
      <c r="E165" s="8" t="s">
        <v>4442</v>
      </c>
      <c r="F165" s="11" t="s">
        <v>195</v>
      </c>
      <c r="G165" s="11" t="s">
        <v>24</v>
      </c>
      <c r="H165" s="1"/>
      <c r="I165" s="1"/>
      <c r="J165" s="1"/>
    </row>
    <row r="166" spans="1:10" x14ac:dyDescent="0.25">
      <c r="A166" s="8" t="s">
        <v>4433</v>
      </c>
      <c r="B166" s="8" t="s">
        <v>4724</v>
      </c>
      <c r="C166" s="31" t="s">
        <v>4725</v>
      </c>
      <c r="D166" s="8" t="s">
        <v>1877</v>
      </c>
      <c r="E166" s="8" t="s">
        <v>4442</v>
      </c>
      <c r="F166" s="11" t="s">
        <v>24</v>
      </c>
      <c r="G166" s="11" t="s">
        <v>24</v>
      </c>
      <c r="H166" s="1"/>
      <c r="I166" s="1"/>
      <c r="J166" s="1"/>
    </row>
    <row r="167" spans="1:10" x14ac:dyDescent="0.25">
      <c r="A167" s="8" t="s">
        <v>4433</v>
      </c>
      <c r="B167" s="8" t="s">
        <v>4726</v>
      </c>
      <c r="C167" s="31" t="s">
        <v>4727</v>
      </c>
      <c r="D167" s="8" t="s">
        <v>1877</v>
      </c>
      <c r="E167" s="8" t="s">
        <v>4439</v>
      </c>
      <c r="F167" s="11" t="s">
        <v>24</v>
      </c>
      <c r="G167" s="11" t="s">
        <v>24</v>
      </c>
      <c r="H167" s="1"/>
      <c r="I167" s="1"/>
      <c r="J167" s="1"/>
    </row>
    <row r="168" spans="1:10" x14ac:dyDescent="0.25">
      <c r="A168" s="8" t="s">
        <v>4433</v>
      </c>
      <c r="B168" s="8" t="s">
        <v>4728</v>
      </c>
      <c r="C168" s="31" t="s">
        <v>4729</v>
      </c>
      <c r="D168" s="8" t="s">
        <v>1881</v>
      </c>
      <c r="E168" s="8" t="s">
        <v>4439</v>
      </c>
      <c r="F168" s="11" t="s">
        <v>24</v>
      </c>
      <c r="G168" s="11" t="s">
        <v>24</v>
      </c>
      <c r="H168" s="1"/>
      <c r="I168" s="1"/>
      <c r="J168" s="1"/>
    </row>
    <row r="169" spans="1:10" x14ac:dyDescent="0.25">
      <c r="A169" s="8" t="s">
        <v>4433</v>
      </c>
      <c r="B169" s="8" t="s">
        <v>4730</v>
      </c>
      <c r="C169" s="31" t="s">
        <v>4731</v>
      </c>
      <c r="D169" s="8" t="s">
        <v>1881</v>
      </c>
      <c r="E169" s="8" t="s">
        <v>4442</v>
      </c>
      <c r="F169" s="11" t="s">
        <v>195</v>
      </c>
      <c r="G169" s="11" t="s">
        <v>24</v>
      </c>
      <c r="H169" s="1"/>
      <c r="I169" s="1"/>
      <c r="J169" s="1"/>
    </row>
    <row r="170" spans="1:10" x14ac:dyDescent="0.25">
      <c r="A170" s="8" t="s">
        <v>4433</v>
      </c>
      <c r="B170" s="8" t="s">
        <v>4732</v>
      </c>
      <c r="C170" s="31" t="s">
        <v>4733</v>
      </c>
      <c r="D170" s="8" t="s">
        <v>1877</v>
      </c>
      <c r="E170" s="8" t="s">
        <v>4436</v>
      </c>
      <c r="F170" s="11" t="s">
        <v>24</v>
      </c>
      <c r="G170" s="11" t="s">
        <v>24</v>
      </c>
      <c r="H170" s="1"/>
      <c r="I170" s="1"/>
      <c r="J170" s="1"/>
    </row>
    <row r="171" spans="1:10" x14ac:dyDescent="0.25">
      <c r="A171" s="8" t="s">
        <v>4433</v>
      </c>
      <c r="B171" s="8" t="s">
        <v>4734</v>
      </c>
      <c r="C171" s="31" t="s">
        <v>4735</v>
      </c>
      <c r="D171" s="8" t="s">
        <v>1877</v>
      </c>
      <c r="E171" s="8" t="s">
        <v>4499</v>
      </c>
      <c r="F171" s="11" t="s">
        <v>24</v>
      </c>
      <c r="G171" s="11" t="s">
        <v>24</v>
      </c>
      <c r="H171" s="1"/>
      <c r="I171" s="1"/>
      <c r="J171" s="1"/>
    </row>
    <row r="172" spans="1:10" x14ac:dyDescent="0.25">
      <c r="A172" s="8" t="s">
        <v>4433</v>
      </c>
      <c r="B172" s="8" t="s">
        <v>4736</v>
      </c>
      <c r="C172" s="31" t="s">
        <v>4737</v>
      </c>
      <c r="D172" s="8" t="s">
        <v>1877</v>
      </c>
      <c r="E172" s="8" t="s">
        <v>4442</v>
      </c>
      <c r="F172" s="11" t="s">
        <v>195</v>
      </c>
      <c r="G172" s="11" t="s">
        <v>24</v>
      </c>
      <c r="H172" s="1"/>
      <c r="I172" s="1"/>
      <c r="J172" s="1"/>
    </row>
    <row r="173" spans="1:10" x14ac:dyDescent="0.25">
      <c r="A173" s="8" t="s">
        <v>4433</v>
      </c>
      <c r="B173" s="8" t="s">
        <v>4738</v>
      </c>
      <c r="C173" s="31" t="s">
        <v>4739</v>
      </c>
      <c r="D173" s="8" t="s">
        <v>1877</v>
      </c>
      <c r="E173" s="8" t="s">
        <v>4439</v>
      </c>
      <c r="F173" s="11" t="s">
        <v>24</v>
      </c>
      <c r="G173" s="11" t="s">
        <v>24</v>
      </c>
      <c r="H173" s="1"/>
      <c r="I173" s="1"/>
      <c r="J173" s="1"/>
    </row>
    <row r="174" spans="1:10" x14ac:dyDescent="0.25">
      <c r="A174" s="8" t="s">
        <v>4433</v>
      </c>
      <c r="B174" s="8" t="s">
        <v>4740</v>
      </c>
      <c r="C174" s="31">
        <v>1876</v>
      </c>
      <c r="D174" s="8" t="s">
        <v>1877</v>
      </c>
      <c r="E174" s="8" t="s">
        <v>4501</v>
      </c>
      <c r="F174" s="11" t="s">
        <v>24</v>
      </c>
      <c r="G174" s="11" t="s">
        <v>24</v>
      </c>
      <c r="H174" s="1"/>
      <c r="I174" s="1"/>
      <c r="J174" s="1"/>
    </row>
    <row r="175" spans="1:10" x14ac:dyDescent="0.25">
      <c r="A175" s="8" t="s">
        <v>4433</v>
      </c>
      <c r="B175" s="8" t="s">
        <v>4741</v>
      </c>
      <c r="C175" s="31" t="s">
        <v>4742</v>
      </c>
      <c r="D175" s="8" t="s">
        <v>1877</v>
      </c>
      <c r="E175" s="8" t="s">
        <v>4439</v>
      </c>
      <c r="F175" s="11" t="s">
        <v>24</v>
      </c>
      <c r="G175" s="11" t="s">
        <v>24</v>
      </c>
      <c r="H175" s="1"/>
      <c r="I175" s="1"/>
      <c r="J175" s="1"/>
    </row>
    <row r="176" spans="1:10" x14ac:dyDescent="0.25">
      <c r="A176" s="8" t="s">
        <v>4433</v>
      </c>
      <c r="B176" s="8" t="s">
        <v>4743</v>
      </c>
      <c r="C176" s="31" t="s">
        <v>4744</v>
      </c>
      <c r="D176" s="8" t="s">
        <v>1877</v>
      </c>
      <c r="E176" s="8" t="s">
        <v>4439</v>
      </c>
      <c r="F176" s="11" t="s">
        <v>24</v>
      </c>
      <c r="G176" s="11" t="s">
        <v>24</v>
      </c>
      <c r="H176" s="1"/>
      <c r="I176" s="1"/>
      <c r="J176" s="1"/>
    </row>
    <row r="177" spans="1:10" x14ac:dyDescent="0.25">
      <c r="A177" s="8" t="s">
        <v>4433</v>
      </c>
      <c r="B177" s="8" t="s">
        <v>4745</v>
      </c>
      <c r="C177" s="31">
        <v>1211</v>
      </c>
      <c r="D177" s="8" t="s">
        <v>1877</v>
      </c>
      <c r="E177" s="8" t="s">
        <v>4501</v>
      </c>
      <c r="F177" s="11" t="s">
        <v>24</v>
      </c>
      <c r="G177" s="11" t="s">
        <v>24</v>
      </c>
      <c r="H177" s="1"/>
      <c r="I177" s="1"/>
      <c r="J177" s="1"/>
    </row>
    <row r="178" spans="1:10" x14ac:dyDescent="0.25">
      <c r="A178" s="8" t="s">
        <v>4433</v>
      </c>
      <c r="B178" s="8" t="s">
        <v>4746</v>
      </c>
      <c r="C178" s="31" t="s">
        <v>4747</v>
      </c>
      <c r="D178" s="8" t="s">
        <v>1877</v>
      </c>
      <c r="E178" s="8" t="s">
        <v>4436</v>
      </c>
      <c r="F178" s="11" t="s">
        <v>24</v>
      </c>
      <c r="G178" s="11" t="s">
        <v>24</v>
      </c>
      <c r="H178" s="1"/>
      <c r="I178" s="1"/>
      <c r="J178" s="1"/>
    </row>
    <row r="179" spans="1:10" x14ac:dyDescent="0.25">
      <c r="A179" s="8" t="s">
        <v>4433</v>
      </c>
      <c r="B179" s="8" t="s">
        <v>4748</v>
      </c>
      <c r="C179" s="31" t="s">
        <v>2458</v>
      </c>
      <c r="D179" s="8" t="s">
        <v>1877</v>
      </c>
      <c r="E179" s="8" t="s">
        <v>4499</v>
      </c>
      <c r="F179" s="11" t="s">
        <v>24</v>
      </c>
      <c r="G179" s="11" t="s">
        <v>24</v>
      </c>
      <c r="H179" s="1"/>
      <c r="I179" s="1"/>
      <c r="J179" s="1"/>
    </row>
    <row r="180" spans="1:10" x14ac:dyDescent="0.25">
      <c r="A180" s="8" t="s">
        <v>4433</v>
      </c>
      <c r="B180" s="8" t="s">
        <v>4749</v>
      </c>
      <c r="C180" s="31" t="s">
        <v>4750</v>
      </c>
      <c r="D180" s="8" t="s">
        <v>1877</v>
      </c>
      <c r="E180" s="8" t="s">
        <v>4442</v>
      </c>
      <c r="F180" s="11" t="s">
        <v>24</v>
      </c>
      <c r="G180" s="11" t="s">
        <v>24</v>
      </c>
      <c r="H180" s="1"/>
      <c r="I180" s="1"/>
      <c r="J180" s="1"/>
    </row>
    <row r="181" spans="1:10" x14ac:dyDescent="0.25">
      <c r="A181" s="8" t="s">
        <v>4433</v>
      </c>
      <c r="B181" s="8" t="s">
        <v>4749</v>
      </c>
      <c r="C181" s="31" t="s">
        <v>4751</v>
      </c>
      <c r="D181" s="8" t="s">
        <v>1877</v>
      </c>
      <c r="E181" s="8" t="s">
        <v>4499</v>
      </c>
      <c r="F181" s="11" t="s">
        <v>24</v>
      </c>
      <c r="G181" s="11" t="s">
        <v>24</v>
      </c>
      <c r="H181" s="1"/>
      <c r="I181" s="1"/>
      <c r="J181" s="1"/>
    </row>
    <row r="182" spans="1:10" x14ac:dyDescent="0.25">
      <c r="A182" s="8" t="s">
        <v>4433</v>
      </c>
      <c r="B182" s="8" t="s">
        <v>4752</v>
      </c>
      <c r="C182" s="31" t="s">
        <v>4753</v>
      </c>
      <c r="D182" s="8" t="s">
        <v>1881</v>
      </c>
      <c r="E182" s="8" t="s">
        <v>4499</v>
      </c>
      <c r="F182" s="11" t="s">
        <v>24</v>
      </c>
      <c r="G182" s="11" t="s">
        <v>24</v>
      </c>
      <c r="H182" s="1"/>
      <c r="I182" s="1"/>
      <c r="J182" s="1"/>
    </row>
    <row r="183" spans="1:10" x14ac:dyDescent="0.25">
      <c r="A183" s="8" t="s">
        <v>4433</v>
      </c>
      <c r="B183" s="8" t="s">
        <v>4754</v>
      </c>
      <c r="C183" s="31" t="s">
        <v>4755</v>
      </c>
      <c r="D183" s="8" t="s">
        <v>1877</v>
      </c>
      <c r="E183" s="8" t="s">
        <v>4499</v>
      </c>
      <c r="F183" s="11" t="s">
        <v>24</v>
      </c>
      <c r="G183" s="11" t="s">
        <v>24</v>
      </c>
      <c r="H183" s="1"/>
      <c r="I183" s="1"/>
      <c r="J183" s="1"/>
    </row>
    <row r="184" spans="1:10" x14ac:dyDescent="0.25">
      <c r="A184" s="8" t="s">
        <v>4433</v>
      </c>
      <c r="B184" s="8" t="s">
        <v>4756</v>
      </c>
      <c r="C184" s="31" t="s">
        <v>4757</v>
      </c>
      <c r="D184" s="8" t="s">
        <v>1877</v>
      </c>
      <c r="E184" s="8" t="s">
        <v>4499</v>
      </c>
      <c r="F184" s="11" t="s">
        <v>24</v>
      </c>
      <c r="G184" s="11" t="s">
        <v>24</v>
      </c>
      <c r="H184" s="1"/>
      <c r="I184" s="1"/>
      <c r="J184" s="1"/>
    </row>
    <row r="185" spans="1:10" x14ac:dyDescent="0.25">
      <c r="A185" s="8" t="s">
        <v>4433</v>
      </c>
      <c r="B185" s="8" t="s">
        <v>4758</v>
      </c>
      <c r="C185" s="31" t="s">
        <v>2559</v>
      </c>
      <c r="D185" s="8" t="s">
        <v>1877</v>
      </c>
      <c r="E185" s="8" t="s">
        <v>4499</v>
      </c>
      <c r="F185" s="11" t="s">
        <v>24</v>
      </c>
      <c r="G185" s="11" t="s">
        <v>24</v>
      </c>
      <c r="H185" s="1"/>
      <c r="I185" s="1"/>
      <c r="J185" s="1"/>
    </row>
    <row r="186" spans="1:10" x14ac:dyDescent="0.25">
      <c r="A186" s="8" t="s">
        <v>4433</v>
      </c>
      <c r="B186" s="8" t="s">
        <v>4759</v>
      </c>
      <c r="C186" s="31" t="s">
        <v>4760</v>
      </c>
      <c r="D186" s="8" t="s">
        <v>1877</v>
      </c>
      <c r="E186" s="8" t="s">
        <v>4442</v>
      </c>
      <c r="F186" s="11" t="s">
        <v>195</v>
      </c>
      <c r="G186" s="11" t="s">
        <v>24</v>
      </c>
      <c r="H186" s="1"/>
      <c r="I186" s="1"/>
      <c r="J186" s="1"/>
    </row>
    <row r="187" spans="1:10" x14ac:dyDescent="0.25">
      <c r="A187" s="8" t="s">
        <v>4433</v>
      </c>
      <c r="B187" s="8" t="s">
        <v>4759</v>
      </c>
      <c r="C187" s="31" t="s">
        <v>4760</v>
      </c>
      <c r="D187" s="8" t="s">
        <v>1877</v>
      </c>
      <c r="E187" s="8" t="s">
        <v>4499</v>
      </c>
      <c r="F187" s="11" t="s">
        <v>24</v>
      </c>
      <c r="G187" s="11" t="s">
        <v>24</v>
      </c>
      <c r="H187" s="1"/>
      <c r="I187" s="1"/>
      <c r="J187" s="1"/>
    </row>
    <row r="188" spans="1:10" x14ac:dyDescent="0.25">
      <c r="A188" s="8" t="s">
        <v>4433</v>
      </c>
      <c r="B188" s="8" t="s">
        <v>4761</v>
      </c>
      <c r="C188" s="31" t="s">
        <v>4762</v>
      </c>
      <c r="D188" s="8" t="s">
        <v>1877</v>
      </c>
      <c r="E188" s="8" t="s">
        <v>4499</v>
      </c>
      <c r="F188" s="11" t="s">
        <v>24</v>
      </c>
      <c r="G188" s="11" t="s">
        <v>24</v>
      </c>
      <c r="H188" s="1"/>
      <c r="I188" s="1"/>
      <c r="J188" s="1"/>
    </row>
    <row r="189" spans="1:10" x14ac:dyDescent="0.25">
      <c r="A189" s="8" t="s">
        <v>4433</v>
      </c>
      <c r="B189" s="8" t="s">
        <v>4763</v>
      </c>
      <c r="C189" s="31" t="s">
        <v>4764</v>
      </c>
      <c r="D189" s="8" t="s">
        <v>1877</v>
      </c>
      <c r="E189" s="8" t="s">
        <v>4468</v>
      </c>
      <c r="F189" s="11" t="s">
        <v>24</v>
      </c>
      <c r="G189" s="11" t="s">
        <v>24</v>
      </c>
      <c r="H189" s="1"/>
      <c r="I189" s="1"/>
      <c r="J189" s="1"/>
    </row>
    <row r="190" spans="1:10" x14ac:dyDescent="0.25">
      <c r="A190" s="8" t="s">
        <v>4433</v>
      </c>
      <c r="B190" s="8" t="s">
        <v>4765</v>
      </c>
      <c r="C190" s="31" t="s">
        <v>2515</v>
      </c>
      <c r="D190" s="8" t="s">
        <v>1877</v>
      </c>
      <c r="E190" s="8" t="s">
        <v>4442</v>
      </c>
      <c r="F190" s="11" t="s">
        <v>24</v>
      </c>
      <c r="G190" s="11" t="s">
        <v>24</v>
      </c>
      <c r="H190" s="1"/>
      <c r="I190" s="1"/>
      <c r="J190" s="1"/>
    </row>
    <row r="191" spans="1:10" x14ac:dyDescent="0.25">
      <c r="A191" s="8" t="s">
        <v>4433</v>
      </c>
      <c r="B191" s="8" t="s">
        <v>4766</v>
      </c>
      <c r="C191" s="31" t="s">
        <v>4767</v>
      </c>
      <c r="D191" s="8" t="s">
        <v>1881</v>
      </c>
      <c r="E191" s="8" t="s">
        <v>4768</v>
      </c>
      <c r="F191" s="11" t="s">
        <v>24</v>
      </c>
      <c r="G191" s="11" t="s">
        <v>24</v>
      </c>
      <c r="H191" s="1"/>
      <c r="I191" s="1"/>
      <c r="J191" s="1"/>
    </row>
    <row r="192" spans="1:10" x14ac:dyDescent="0.25">
      <c r="A192" s="8" t="s">
        <v>4433</v>
      </c>
      <c r="B192" s="8" t="s">
        <v>4769</v>
      </c>
      <c r="C192" s="31" t="s">
        <v>4770</v>
      </c>
      <c r="D192" s="8" t="s">
        <v>1877</v>
      </c>
      <c r="E192" s="8" t="s">
        <v>4768</v>
      </c>
      <c r="F192" s="11" t="s">
        <v>24</v>
      </c>
      <c r="G192" s="11" t="s">
        <v>24</v>
      </c>
      <c r="H192" s="1"/>
      <c r="I192" s="1"/>
      <c r="J192" s="1"/>
    </row>
    <row r="193" spans="1:10" x14ac:dyDescent="0.25">
      <c r="A193" s="8" t="s">
        <v>4433</v>
      </c>
      <c r="B193" s="8" t="s">
        <v>4771</v>
      </c>
      <c r="C193" s="31" t="s">
        <v>4772</v>
      </c>
      <c r="D193" s="8" t="s">
        <v>1877</v>
      </c>
      <c r="E193" s="8" t="s">
        <v>4436</v>
      </c>
      <c r="F193" s="11" t="s">
        <v>195</v>
      </c>
      <c r="G193" s="11" t="s">
        <v>24</v>
      </c>
      <c r="H193" s="1"/>
      <c r="I193" s="1"/>
      <c r="J193" s="1"/>
    </row>
    <row r="194" spans="1:10" x14ac:dyDescent="0.25">
      <c r="A194" s="8" t="s">
        <v>4433</v>
      </c>
      <c r="B194" s="8" t="s">
        <v>4773</v>
      </c>
      <c r="C194" s="31" t="s">
        <v>4774</v>
      </c>
      <c r="D194" s="8" t="s">
        <v>1877</v>
      </c>
      <c r="E194" s="8" t="s">
        <v>4445</v>
      </c>
      <c r="F194" s="11" t="s">
        <v>24</v>
      </c>
      <c r="G194" s="11" t="s">
        <v>24</v>
      </c>
      <c r="H194" s="1"/>
      <c r="I194" s="1"/>
      <c r="J194" s="1"/>
    </row>
    <row r="195" spans="1:10" x14ac:dyDescent="0.25">
      <c r="A195" s="8" t="s">
        <v>4433</v>
      </c>
      <c r="B195" s="8" t="s">
        <v>4775</v>
      </c>
      <c r="C195" s="31" t="s">
        <v>2643</v>
      </c>
      <c r="D195" s="8" t="s">
        <v>2030</v>
      </c>
      <c r="E195" s="8" t="s">
        <v>4442</v>
      </c>
      <c r="F195" s="11" t="s">
        <v>24</v>
      </c>
      <c r="G195" s="11" t="s">
        <v>24</v>
      </c>
      <c r="H195" s="1"/>
      <c r="I195" s="1"/>
      <c r="J195" s="1"/>
    </row>
    <row r="196" spans="1:10" x14ac:dyDescent="0.25">
      <c r="A196" s="8" t="s">
        <v>4433</v>
      </c>
      <c r="B196" s="8" t="s">
        <v>4776</v>
      </c>
      <c r="C196" s="31" t="s">
        <v>4777</v>
      </c>
      <c r="D196" s="8" t="s">
        <v>1877</v>
      </c>
      <c r="E196" s="8" t="s">
        <v>4468</v>
      </c>
      <c r="F196" s="11" t="s">
        <v>24</v>
      </c>
      <c r="G196" s="11" t="s">
        <v>24</v>
      </c>
      <c r="H196" s="1"/>
      <c r="I196" s="1"/>
      <c r="J196" s="1"/>
    </row>
    <row r="197" spans="1:10" x14ac:dyDescent="0.25">
      <c r="A197" s="8" t="s">
        <v>4433</v>
      </c>
      <c r="B197" s="8" t="s">
        <v>4778</v>
      </c>
      <c r="C197" s="31" t="s">
        <v>2492</v>
      </c>
      <c r="D197" s="8" t="s">
        <v>1877</v>
      </c>
      <c r="E197" s="8" t="s">
        <v>4442</v>
      </c>
      <c r="F197" s="11" t="s">
        <v>24</v>
      </c>
      <c r="G197" s="11" t="s">
        <v>24</v>
      </c>
      <c r="H197" s="1"/>
      <c r="I197" s="1"/>
      <c r="J197" s="1"/>
    </row>
    <row r="198" spans="1:10" x14ac:dyDescent="0.25">
      <c r="A198" s="8" t="s">
        <v>4433</v>
      </c>
      <c r="B198" s="8" t="s">
        <v>4779</v>
      </c>
      <c r="C198" s="31" t="s">
        <v>4780</v>
      </c>
      <c r="D198" s="8" t="s">
        <v>1877</v>
      </c>
      <c r="E198" s="8" t="s">
        <v>4499</v>
      </c>
      <c r="F198" s="11" t="s">
        <v>24</v>
      </c>
      <c r="G198" s="11" t="s">
        <v>24</v>
      </c>
      <c r="H198" s="1"/>
      <c r="I198" s="1"/>
      <c r="J198" s="1"/>
    </row>
    <row r="199" spans="1:10" x14ac:dyDescent="0.25">
      <c r="A199" s="8" t="s">
        <v>4433</v>
      </c>
      <c r="B199" s="8" t="s">
        <v>4781</v>
      </c>
      <c r="C199" s="31" t="s">
        <v>4782</v>
      </c>
      <c r="D199" s="8" t="s">
        <v>1877</v>
      </c>
      <c r="E199" s="8" t="s">
        <v>4499</v>
      </c>
      <c r="F199" s="11" t="s">
        <v>24</v>
      </c>
      <c r="G199" s="11" t="s">
        <v>24</v>
      </c>
      <c r="H199" s="1"/>
      <c r="I199" s="1"/>
      <c r="J199" s="1"/>
    </row>
    <row r="200" spans="1:10" x14ac:dyDescent="0.25">
      <c r="A200" s="8" t="s">
        <v>4433</v>
      </c>
      <c r="B200" s="8" t="s">
        <v>4783</v>
      </c>
      <c r="C200" s="31" t="s">
        <v>4784</v>
      </c>
      <c r="D200" s="8" t="s">
        <v>1877</v>
      </c>
      <c r="E200" s="8" t="s">
        <v>4439</v>
      </c>
      <c r="F200" s="11" t="s">
        <v>24</v>
      </c>
      <c r="G200" s="11" t="s">
        <v>24</v>
      </c>
      <c r="H200" s="1"/>
      <c r="I200" s="1"/>
      <c r="J200" s="1"/>
    </row>
    <row r="201" spans="1:10" x14ac:dyDescent="0.25">
      <c r="A201" s="8" t="s">
        <v>4433</v>
      </c>
      <c r="B201" s="8" t="s">
        <v>4785</v>
      </c>
      <c r="C201" s="31" t="s">
        <v>4786</v>
      </c>
      <c r="D201" s="8" t="s">
        <v>1877</v>
      </c>
      <c r="E201" s="8" t="s">
        <v>4442</v>
      </c>
      <c r="F201" s="11" t="s">
        <v>195</v>
      </c>
      <c r="G201" s="11" t="s">
        <v>24</v>
      </c>
      <c r="H201" s="1"/>
      <c r="I201" s="1"/>
      <c r="J201" s="1"/>
    </row>
    <row r="202" spans="1:10" x14ac:dyDescent="0.25">
      <c r="A202" s="8" t="s">
        <v>4433</v>
      </c>
      <c r="B202" s="8" t="s">
        <v>4787</v>
      </c>
      <c r="C202" s="31" t="s">
        <v>4788</v>
      </c>
      <c r="D202" s="8" t="s">
        <v>1877</v>
      </c>
      <c r="E202" s="8" t="s">
        <v>4499</v>
      </c>
      <c r="F202" s="11" t="s">
        <v>24</v>
      </c>
      <c r="G202" s="11" t="s">
        <v>24</v>
      </c>
      <c r="H202" s="1"/>
      <c r="I202" s="1"/>
      <c r="J202" s="1"/>
    </row>
    <row r="203" spans="1:10" x14ac:dyDescent="0.25">
      <c r="A203" s="8" t="s">
        <v>4433</v>
      </c>
      <c r="B203" s="8" t="s">
        <v>4789</v>
      </c>
      <c r="C203" s="31" t="s">
        <v>4790</v>
      </c>
      <c r="D203" s="8" t="s">
        <v>1877</v>
      </c>
      <c r="E203" s="8" t="s">
        <v>4442</v>
      </c>
      <c r="F203" s="11" t="s">
        <v>24</v>
      </c>
      <c r="G203" s="11" t="s">
        <v>24</v>
      </c>
      <c r="H203" s="1"/>
      <c r="I203" s="1"/>
      <c r="J203" s="1"/>
    </row>
    <row r="204" spans="1:10" x14ac:dyDescent="0.25">
      <c r="A204" s="8" t="s">
        <v>4433</v>
      </c>
      <c r="B204" s="8" t="s">
        <v>4791</v>
      </c>
      <c r="C204" s="31" t="s">
        <v>4792</v>
      </c>
      <c r="D204" s="8" t="s">
        <v>1877</v>
      </c>
      <c r="E204" s="8" t="s">
        <v>4436</v>
      </c>
      <c r="F204" s="11" t="s">
        <v>24</v>
      </c>
      <c r="G204" s="11" t="s">
        <v>24</v>
      </c>
      <c r="H204" s="1"/>
      <c r="I204" s="1"/>
      <c r="J204" s="1"/>
    </row>
    <row r="205" spans="1:10" x14ac:dyDescent="0.25">
      <c r="A205" s="8" t="s">
        <v>4433</v>
      </c>
      <c r="B205" s="8" t="s">
        <v>4793</v>
      </c>
      <c r="C205" s="31" t="s">
        <v>4794</v>
      </c>
      <c r="D205" s="8" t="s">
        <v>1877</v>
      </c>
      <c r="E205" s="8" t="s">
        <v>4442</v>
      </c>
      <c r="F205" s="11" t="s">
        <v>24</v>
      </c>
      <c r="G205" s="11" t="s">
        <v>24</v>
      </c>
      <c r="H205" s="1"/>
      <c r="I205" s="1"/>
      <c r="J205" s="1"/>
    </row>
    <row r="206" spans="1:10" x14ac:dyDescent="0.25">
      <c r="A206" s="8" t="s">
        <v>4433</v>
      </c>
      <c r="B206" s="8" t="s">
        <v>4795</v>
      </c>
      <c r="C206" s="31">
        <v>939</v>
      </c>
      <c r="D206" s="8" t="s">
        <v>1877</v>
      </c>
      <c r="E206" s="8" t="s">
        <v>4501</v>
      </c>
      <c r="F206" s="11" t="s">
        <v>24</v>
      </c>
      <c r="G206" s="11" t="s">
        <v>24</v>
      </c>
      <c r="H206" s="1"/>
      <c r="I206" s="1"/>
      <c r="J206" s="1"/>
    </row>
    <row r="207" spans="1:10" x14ac:dyDescent="0.25">
      <c r="A207" s="8" t="s">
        <v>4433</v>
      </c>
      <c r="B207" s="8" t="s">
        <v>4796</v>
      </c>
      <c r="C207" s="31">
        <v>1378</v>
      </c>
      <c r="D207" s="8" t="s">
        <v>1877</v>
      </c>
      <c r="E207" s="8" t="s">
        <v>4501</v>
      </c>
      <c r="F207" s="11" t="s">
        <v>24</v>
      </c>
      <c r="G207" s="11" t="s">
        <v>24</v>
      </c>
      <c r="H207" s="1"/>
      <c r="I207" s="1"/>
      <c r="J207" s="1"/>
    </row>
    <row r="208" spans="1:10" x14ac:dyDescent="0.25">
      <c r="A208" s="8" t="s">
        <v>4433</v>
      </c>
      <c r="B208" s="8" t="s">
        <v>4797</v>
      </c>
      <c r="C208" s="31">
        <v>2628</v>
      </c>
      <c r="D208" s="8" t="s">
        <v>1877</v>
      </c>
      <c r="E208" s="8" t="s">
        <v>4501</v>
      </c>
      <c r="F208" s="11" t="s">
        <v>24</v>
      </c>
      <c r="G208" s="11" t="s">
        <v>24</v>
      </c>
      <c r="H208" s="1"/>
      <c r="I208" s="1"/>
      <c r="J208" s="1"/>
    </row>
    <row r="209" spans="1:10" x14ac:dyDescent="0.25">
      <c r="A209" s="8" t="s">
        <v>4433</v>
      </c>
      <c r="B209" s="8" t="s">
        <v>4798</v>
      </c>
      <c r="C209" s="31">
        <v>2319</v>
      </c>
      <c r="D209" s="8" t="s">
        <v>1877</v>
      </c>
      <c r="E209" s="8" t="s">
        <v>4501</v>
      </c>
      <c r="F209" s="11" t="s">
        <v>24</v>
      </c>
      <c r="G209" s="11" t="s">
        <v>24</v>
      </c>
      <c r="H209" s="1"/>
      <c r="I209" s="1"/>
      <c r="J209" s="1"/>
    </row>
    <row r="210" spans="1:10" x14ac:dyDescent="0.25">
      <c r="A210" s="8" t="s">
        <v>4433</v>
      </c>
      <c r="B210" s="8" t="s">
        <v>4799</v>
      </c>
      <c r="C210" s="31">
        <v>3968</v>
      </c>
      <c r="D210" s="8" t="s">
        <v>1877</v>
      </c>
      <c r="E210" s="8" t="s">
        <v>4501</v>
      </c>
      <c r="F210" s="11" t="s">
        <v>24</v>
      </c>
      <c r="G210" s="11" t="s">
        <v>24</v>
      </c>
      <c r="H210" s="1"/>
      <c r="I210" s="1"/>
      <c r="J210" s="1"/>
    </row>
    <row r="211" spans="1:10" x14ac:dyDescent="0.25">
      <c r="A211" s="8" t="s">
        <v>4433</v>
      </c>
      <c r="B211" s="8" t="s">
        <v>4800</v>
      </c>
      <c r="C211" s="31">
        <v>688</v>
      </c>
      <c r="D211" s="8" t="s">
        <v>1877</v>
      </c>
      <c r="E211" s="8" t="s">
        <v>4501</v>
      </c>
      <c r="F211" s="11" t="s">
        <v>24</v>
      </c>
      <c r="G211" s="11" t="s">
        <v>24</v>
      </c>
      <c r="H211" s="1"/>
      <c r="I211" s="1"/>
      <c r="J211" s="1"/>
    </row>
    <row r="212" spans="1:10" x14ac:dyDescent="0.25">
      <c r="A212" s="8" t="s">
        <v>4433</v>
      </c>
      <c r="B212" s="8" t="s">
        <v>4801</v>
      </c>
      <c r="C212" s="31">
        <v>386</v>
      </c>
      <c r="D212" s="8" t="s">
        <v>1877</v>
      </c>
      <c r="E212" s="8" t="s">
        <v>4501</v>
      </c>
      <c r="F212" s="11" t="s">
        <v>24</v>
      </c>
      <c r="G212" s="11" t="s">
        <v>24</v>
      </c>
      <c r="H212" s="1"/>
      <c r="I212" s="1"/>
      <c r="J212" s="1"/>
    </row>
    <row r="213" spans="1:10" x14ac:dyDescent="0.25">
      <c r="A213" s="8" t="s">
        <v>4433</v>
      </c>
      <c r="B213" s="8" t="s">
        <v>4802</v>
      </c>
      <c r="C213" s="31">
        <v>291</v>
      </c>
      <c r="D213" s="8" t="s">
        <v>1877</v>
      </c>
      <c r="E213" s="8" t="s">
        <v>4501</v>
      </c>
      <c r="F213" s="11" t="s">
        <v>24</v>
      </c>
      <c r="G213" s="11" t="s">
        <v>24</v>
      </c>
      <c r="H213" s="1"/>
      <c r="I213" s="1"/>
      <c r="J213" s="1"/>
    </row>
    <row r="214" spans="1:10" x14ac:dyDescent="0.25">
      <c r="A214" s="8" t="s">
        <v>4433</v>
      </c>
      <c r="B214" s="8" t="s">
        <v>4803</v>
      </c>
      <c r="C214" s="31">
        <v>1109</v>
      </c>
      <c r="D214" s="8" t="s">
        <v>1877</v>
      </c>
      <c r="E214" s="8" t="s">
        <v>4501</v>
      </c>
      <c r="F214" s="11" t="s">
        <v>24</v>
      </c>
      <c r="G214" s="11" t="s">
        <v>24</v>
      </c>
      <c r="H214" s="1"/>
      <c r="I214" s="1"/>
      <c r="J214" s="1"/>
    </row>
    <row r="215" spans="1:10" x14ac:dyDescent="0.25">
      <c r="A215" s="8" t="s">
        <v>4433</v>
      </c>
      <c r="B215" s="8" t="s">
        <v>4804</v>
      </c>
      <c r="C215" s="31">
        <v>1209</v>
      </c>
      <c r="D215" s="8" t="s">
        <v>1877</v>
      </c>
      <c r="E215" s="8" t="s">
        <v>4501</v>
      </c>
      <c r="F215" s="11" t="s">
        <v>24</v>
      </c>
      <c r="G215" s="11" t="s">
        <v>24</v>
      </c>
      <c r="H215" s="1"/>
      <c r="I215" s="1"/>
      <c r="J215" s="1"/>
    </row>
    <row r="216" spans="1:10" x14ac:dyDescent="0.25">
      <c r="A216" s="8" t="s">
        <v>4433</v>
      </c>
      <c r="B216" s="8" t="s">
        <v>4805</v>
      </c>
      <c r="C216" s="31">
        <v>1088</v>
      </c>
      <c r="D216" s="8" t="s">
        <v>1877</v>
      </c>
      <c r="E216" s="8" t="s">
        <v>4501</v>
      </c>
      <c r="F216" s="11" t="s">
        <v>24</v>
      </c>
      <c r="G216" s="11" t="s">
        <v>24</v>
      </c>
      <c r="H216" s="1"/>
      <c r="I216" s="1"/>
      <c r="J216" s="1"/>
    </row>
    <row r="217" spans="1:10" x14ac:dyDescent="0.25">
      <c r="A217" s="8" t="s">
        <v>4433</v>
      </c>
      <c r="B217" s="8" t="s">
        <v>4806</v>
      </c>
      <c r="C217" s="31" t="s">
        <v>4807</v>
      </c>
      <c r="D217" s="8" t="s">
        <v>1877</v>
      </c>
      <c r="E217" s="8" t="s">
        <v>4442</v>
      </c>
      <c r="F217" s="11" t="s">
        <v>24</v>
      </c>
      <c r="G217" s="11" t="s">
        <v>24</v>
      </c>
      <c r="H217" s="1"/>
      <c r="I217" s="1"/>
      <c r="J217" s="1"/>
    </row>
    <row r="218" spans="1:10" x14ac:dyDescent="0.25">
      <c r="A218" s="8" t="s">
        <v>4433</v>
      </c>
      <c r="B218" s="8" t="s">
        <v>4808</v>
      </c>
      <c r="C218" s="31">
        <v>1929</v>
      </c>
      <c r="D218" s="8" t="s">
        <v>1877</v>
      </c>
      <c r="E218" s="8" t="s">
        <v>4501</v>
      </c>
      <c r="F218" s="11" t="s">
        <v>24</v>
      </c>
      <c r="G218" s="11" t="s">
        <v>24</v>
      </c>
      <c r="H218" s="1"/>
      <c r="I218" s="1"/>
      <c r="J218" s="1"/>
    </row>
    <row r="219" spans="1:10" x14ac:dyDescent="0.25">
      <c r="A219" s="8" t="s">
        <v>4433</v>
      </c>
      <c r="B219" s="8" t="s">
        <v>4809</v>
      </c>
      <c r="C219" s="31" t="s">
        <v>4810</v>
      </c>
      <c r="D219" s="8" t="s">
        <v>1877</v>
      </c>
      <c r="E219" s="8" t="s">
        <v>4436</v>
      </c>
      <c r="F219" s="11" t="s">
        <v>24</v>
      </c>
      <c r="G219" s="11" t="s">
        <v>24</v>
      </c>
      <c r="H219" s="1"/>
      <c r="I219" s="1"/>
      <c r="J219" s="1"/>
    </row>
    <row r="220" spans="1:10" x14ac:dyDescent="0.25">
      <c r="A220" s="8" t="s">
        <v>4433</v>
      </c>
      <c r="B220" s="8" t="s">
        <v>4811</v>
      </c>
      <c r="C220" s="31" t="s">
        <v>4812</v>
      </c>
      <c r="D220" s="8" t="s">
        <v>1877</v>
      </c>
      <c r="E220" s="8" t="s">
        <v>4436</v>
      </c>
      <c r="F220" s="11" t="s">
        <v>24</v>
      </c>
      <c r="G220" s="11" t="s">
        <v>24</v>
      </c>
      <c r="H220" s="1"/>
      <c r="I220" s="1"/>
      <c r="J220" s="1"/>
    </row>
    <row r="221" spans="1:10" x14ac:dyDescent="0.25">
      <c r="A221" s="8" t="s">
        <v>4433</v>
      </c>
      <c r="B221" s="8" t="s">
        <v>4813</v>
      </c>
      <c r="C221" s="31">
        <v>267</v>
      </c>
      <c r="D221" s="8" t="s">
        <v>1877</v>
      </c>
      <c r="E221" s="8" t="s">
        <v>4501</v>
      </c>
      <c r="F221" s="11" t="s">
        <v>24</v>
      </c>
      <c r="G221" s="11" t="s">
        <v>24</v>
      </c>
      <c r="H221" s="1"/>
      <c r="I221" s="1"/>
      <c r="J221" s="1"/>
    </row>
    <row r="222" spans="1:10" x14ac:dyDescent="0.25">
      <c r="A222" s="8" t="s">
        <v>4433</v>
      </c>
      <c r="B222" s="8" t="s">
        <v>4814</v>
      </c>
      <c r="C222" s="31" t="s">
        <v>4815</v>
      </c>
      <c r="D222" s="8" t="s">
        <v>1877</v>
      </c>
      <c r="E222" s="8" t="s">
        <v>4442</v>
      </c>
      <c r="F222" s="11" t="s">
        <v>24</v>
      </c>
      <c r="G222" s="11" t="s">
        <v>24</v>
      </c>
      <c r="H222" s="1"/>
      <c r="I222" s="1"/>
      <c r="J222" s="1"/>
    </row>
    <row r="223" spans="1:10" x14ac:dyDescent="0.25">
      <c r="A223" s="8" t="s">
        <v>4433</v>
      </c>
      <c r="B223" s="8" t="s">
        <v>4816</v>
      </c>
      <c r="C223" s="31" t="s">
        <v>4817</v>
      </c>
      <c r="D223" s="8" t="s">
        <v>1877</v>
      </c>
      <c r="E223" s="8" t="s">
        <v>4768</v>
      </c>
      <c r="F223" s="11" t="s">
        <v>24</v>
      </c>
      <c r="G223" s="11" t="s">
        <v>24</v>
      </c>
      <c r="H223" s="1"/>
      <c r="I223" s="1"/>
      <c r="J223" s="1"/>
    </row>
    <row r="224" spans="1:10" x14ac:dyDescent="0.25">
      <c r="A224" s="8" t="s">
        <v>4433</v>
      </c>
      <c r="B224" s="8" t="s">
        <v>4818</v>
      </c>
      <c r="C224" s="31">
        <v>1113</v>
      </c>
      <c r="D224" s="8" t="s">
        <v>1877</v>
      </c>
      <c r="E224" s="8" t="s">
        <v>4501</v>
      </c>
      <c r="F224" s="11" t="s">
        <v>24</v>
      </c>
      <c r="G224" s="11" t="s">
        <v>24</v>
      </c>
      <c r="H224" s="1"/>
      <c r="I224" s="1"/>
      <c r="J224" s="1"/>
    </row>
    <row r="225" spans="1:10" x14ac:dyDescent="0.25">
      <c r="A225" s="8" t="s">
        <v>4433</v>
      </c>
      <c r="B225" s="8" t="s">
        <v>4819</v>
      </c>
      <c r="C225" s="31">
        <v>1</v>
      </c>
      <c r="D225" s="8" t="s">
        <v>1877</v>
      </c>
      <c r="E225" s="8" t="s">
        <v>4501</v>
      </c>
      <c r="F225" s="11" t="s">
        <v>24</v>
      </c>
      <c r="G225" s="11" t="s">
        <v>24</v>
      </c>
      <c r="H225" s="1"/>
      <c r="I225" s="1"/>
      <c r="J225" s="1"/>
    </row>
    <row r="226" spans="1:10" x14ac:dyDescent="0.25">
      <c r="A226" s="8" t="s">
        <v>4433</v>
      </c>
      <c r="B226" s="8" t="s">
        <v>4820</v>
      </c>
      <c r="C226" s="31">
        <v>1038</v>
      </c>
      <c r="D226" s="8" t="s">
        <v>1877</v>
      </c>
      <c r="E226" s="8" t="s">
        <v>4501</v>
      </c>
      <c r="F226" s="11" t="s">
        <v>24</v>
      </c>
      <c r="G226" s="11" t="s">
        <v>24</v>
      </c>
      <c r="H226" s="1"/>
      <c r="I226" s="1"/>
      <c r="J226" s="1"/>
    </row>
    <row r="227" spans="1:10" x14ac:dyDescent="0.25">
      <c r="A227" s="8" t="s">
        <v>4433</v>
      </c>
      <c r="B227" s="8" t="s">
        <v>4821</v>
      </c>
      <c r="C227" s="31" t="s">
        <v>4822</v>
      </c>
      <c r="D227" s="8" t="s">
        <v>1877</v>
      </c>
      <c r="E227" s="8" t="s">
        <v>4442</v>
      </c>
      <c r="F227" s="11" t="s">
        <v>24</v>
      </c>
      <c r="G227" s="11" t="s">
        <v>24</v>
      </c>
      <c r="H227" s="1"/>
      <c r="I227" s="1"/>
      <c r="J227" s="1"/>
    </row>
    <row r="228" spans="1:10" x14ac:dyDescent="0.25">
      <c r="A228" s="8" t="s">
        <v>4433</v>
      </c>
      <c r="B228" s="8" t="s">
        <v>4823</v>
      </c>
      <c r="C228" s="31">
        <v>2</v>
      </c>
      <c r="D228" s="8" t="s">
        <v>1877</v>
      </c>
      <c r="E228" s="8" t="s">
        <v>4501</v>
      </c>
      <c r="F228" s="11" t="s">
        <v>24</v>
      </c>
      <c r="G228" s="11" t="s">
        <v>24</v>
      </c>
      <c r="H228" s="1"/>
      <c r="I228" s="1"/>
      <c r="J228" s="1"/>
    </row>
    <row r="229" spans="1:10" x14ac:dyDescent="0.25">
      <c r="A229" s="8" t="s">
        <v>4433</v>
      </c>
      <c r="B229" s="8" t="s">
        <v>4824</v>
      </c>
      <c r="C229" s="31" t="s">
        <v>4825</v>
      </c>
      <c r="D229" s="8" t="s">
        <v>1877</v>
      </c>
      <c r="E229" s="8" t="s">
        <v>4442</v>
      </c>
      <c r="F229" s="11" t="s">
        <v>24</v>
      </c>
      <c r="G229" s="11" t="s">
        <v>24</v>
      </c>
      <c r="H229" s="1"/>
      <c r="I229" s="1"/>
      <c r="J229" s="1"/>
    </row>
    <row r="230" spans="1:10" x14ac:dyDescent="0.25">
      <c r="A230" s="8" t="s">
        <v>4433</v>
      </c>
      <c r="B230" s="8" t="s">
        <v>4826</v>
      </c>
      <c r="C230" s="31" t="s">
        <v>4827</v>
      </c>
      <c r="D230" s="8" t="s">
        <v>1877</v>
      </c>
      <c r="E230" s="8" t="s">
        <v>4439</v>
      </c>
      <c r="F230" s="11" t="s">
        <v>24</v>
      </c>
      <c r="G230" s="11" t="s">
        <v>24</v>
      </c>
      <c r="H230" s="1"/>
      <c r="I230" s="1"/>
      <c r="J230" s="1"/>
    </row>
    <row r="231" spans="1:10" x14ac:dyDescent="0.25">
      <c r="A231" s="8" t="s">
        <v>4433</v>
      </c>
      <c r="B231" s="8" t="s">
        <v>4828</v>
      </c>
      <c r="C231" s="31" t="s">
        <v>4829</v>
      </c>
      <c r="D231" s="8" t="s">
        <v>1877</v>
      </c>
      <c r="E231" s="8" t="s">
        <v>4436</v>
      </c>
      <c r="F231" s="11" t="s">
        <v>24</v>
      </c>
      <c r="G231" s="11" t="s">
        <v>24</v>
      </c>
      <c r="H231" s="1"/>
      <c r="I231" s="1"/>
      <c r="J231" s="1"/>
    </row>
    <row r="232" spans="1:10" x14ac:dyDescent="0.25">
      <c r="A232" s="8" t="s">
        <v>4433</v>
      </c>
      <c r="B232" s="8" t="s">
        <v>4830</v>
      </c>
      <c r="C232" s="31" t="s">
        <v>4831</v>
      </c>
      <c r="D232" s="8" t="s">
        <v>1877</v>
      </c>
      <c r="E232" s="8" t="s">
        <v>4436</v>
      </c>
      <c r="F232" s="11" t="s">
        <v>195</v>
      </c>
      <c r="G232" s="11" t="s">
        <v>24</v>
      </c>
      <c r="H232" s="1"/>
      <c r="I232" s="1"/>
      <c r="J232" s="1"/>
    </row>
    <row r="233" spans="1:10" x14ac:dyDescent="0.25">
      <c r="A233" s="8" t="s">
        <v>4433</v>
      </c>
      <c r="B233" s="8" t="s">
        <v>4832</v>
      </c>
      <c r="C233" s="31" t="s">
        <v>4833</v>
      </c>
      <c r="D233" s="8" t="s">
        <v>1877</v>
      </c>
      <c r="E233" s="8" t="s">
        <v>4442</v>
      </c>
      <c r="F233" s="11" t="s">
        <v>24</v>
      </c>
      <c r="G233" s="11" t="s">
        <v>24</v>
      </c>
      <c r="H233" s="1"/>
      <c r="I233" s="1"/>
      <c r="J233" s="1"/>
    </row>
    <row r="234" spans="1:10" x14ac:dyDescent="0.25">
      <c r="A234" s="8" t="s">
        <v>4433</v>
      </c>
      <c r="B234" s="8" t="s">
        <v>4834</v>
      </c>
      <c r="C234" s="31" t="s">
        <v>4835</v>
      </c>
      <c r="D234" s="8" t="s">
        <v>1877</v>
      </c>
      <c r="E234" s="8" t="s">
        <v>4445</v>
      </c>
      <c r="F234" s="11" t="s">
        <v>24</v>
      </c>
      <c r="G234" s="11" t="s">
        <v>24</v>
      </c>
      <c r="H234" s="1"/>
      <c r="I234" s="1"/>
      <c r="J234" s="1"/>
    </row>
    <row r="235" spans="1:10" x14ac:dyDescent="0.25">
      <c r="A235" s="8" t="s">
        <v>4433</v>
      </c>
      <c r="B235" s="8" t="s">
        <v>4836</v>
      </c>
      <c r="C235" s="31" t="s">
        <v>4837</v>
      </c>
      <c r="D235" s="8" t="s">
        <v>1877</v>
      </c>
      <c r="E235" s="8" t="s">
        <v>4436</v>
      </c>
      <c r="F235" s="11" t="s">
        <v>24</v>
      </c>
      <c r="G235" s="11" t="s">
        <v>24</v>
      </c>
      <c r="H235" s="1"/>
      <c r="I235" s="1"/>
      <c r="J235" s="1"/>
    </row>
    <row r="236" spans="1:10" x14ac:dyDescent="0.25">
      <c r="A236" s="8" t="s">
        <v>4433</v>
      </c>
      <c r="B236" s="8" t="s">
        <v>4838</v>
      </c>
      <c r="C236" s="31" t="s">
        <v>4839</v>
      </c>
      <c r="D236" s="8" t="s">
        <v>1877</v>
      </c>
      <c r="E236" s="8" t="s">
        <v>4473</v>
      </c>
      <c r="F236" s="11" t="s">
        <v>24</v>
      </c>
      <c r="G236" s="11" t="s">
        <v>24</v>
      </c>
      <c r="H236" s="1"/>
      <c r="I236" s="1"/>
      <c r="J236" s="1"/>
    </row>
    <row r="237" spans="1:10" x14ac:dyDescent="0.25">
      <c r="A237" s="8" t="s">
        <v>4433</v>
      </c>
      <c r="B237" s="8" t="s">
        <v>4840</v>
      </c>
      <c r="C237" s="31" t="s">
        <v>4841</v>
      </c>
      <c r="D237" s="8" t="s">
        <v>1877</v>
      </c>
      <c r="E237" s="8" t="s">
        <v>4468</v>
      </c>
      <c r="F237" s="11" t="s">
        <v>24</v>
      </c>
      <c r="G237" s="11" t="s">
        <v>24</v>
      </c>
      <c r="H237" s="1"/>
      <c r="I237" s="1"/>
      <c r="J237" s="1"/>
    </row>
    <row r="238" spans="1:10" x14ac:dyDescent="0.25">
      <c r="A238" s="8" t="s">
        <v>4433</v>
      </c>
      <c r="B238" s="8" t="s">
        <v>4842</v>
      </c>
      <c r="C238" s="31" t="s">
        <v>4843</v>
      </c>
      <c r="D238" s="8" t="s">
        <v>1877</v>
      </c>
      <c r="E238" s="8" t="s">
        <v>4453</v>
      </c>
      <c r="F238" s="11" t="s">
        <v>24</v>
      </c>
      <c r="G238" s="11" t="s">
        <v>24</v>
      </c>
      <c r="H238" s="1"/>
      <c r="I238" s="1"/>
      <c r="J238" s="1"/>
    </row>
    <row r="239" spans="1:10" x14ac:dyDescent="0.25">
      <c r="A239" s="8" t="s">
        <v>4433</v>
      </c>
      <c r="B239" s="8" t="s">
        <v>4844</v>
      </c>
      <c r="C239" s="31" t="s">
        <v>4845</v>
      </c>
      <c r="D239" s="8" t="s">
        <v>1877</v>
      </c>
      <c r="E239" s="8" t="s">
        <v>4439</v>
      </c>
      <c r="F239" s="11" t="s">
        <v>24</v>
      </c>
      <c r="G239" s="11" t="s">
        <v>24</v>
      </c>
      <c r="H239" s="1"/>
      <c r="I239" s="1"/>
      <c r="J239" s="1"/>
    </row>
    <row r="240" spans="1:10" x14ac:dyDescent="0.25">
      <c r="A240" s="8" t="s">
        <v>4433</v>
      </c>
      <c r="B240" s="8" t="s">
        <v>4846</v>
      </c>
      <c r="C240" s="31" t="s">
        <v>4847</v>
      </c>
      <c r="D240" s="8" t="s">
        <v>1877</v>
      </c>
      <c r="E240" s="8" t="s">
        <v>4442</v>
      </c>
      <c r="F240" s="11" t="s">
        <v>24</v>
      </c>
      <c r="G240" s="11" t="s">
        <v>24</v>
      </c>
      <c r="H240" s="1"/>
      <c r="I240" s="1"/>
      <c r="J240" s="1"/>
    </row>
    <row r="241" spans="1:10" x14ac:dyDescent="0.25">
      <c r="A241" s="8" t="s">
        <v>4433</v>
      </c>
      <c r="B241" s="8" t="s">
        <v>4848</v>
      </c>
      <c r="C241" s="31" t="s">
        <v>4849</v>
      </c>
      <c r="D241" s="8" t="s">
        <v>1877</v>
      </c>
      <c r="E241" s="8" t="s">
        <v>4442</v>
      </c>
      <c r="F241" s="11" t="s">
        <v>24</v>
      </c>
      <c r="G241" s="11" t="s">
        <v>24</v>
      </c>
      <c r="H241" s="1"/>
      <c r="I241" s="1"/>
      <c r="J241" s="1"/>
    </row>
    <row r="242" spans="1:10" x14ac:dyDescent="0.25">
      <c r="A242" s="8" t="s">
        <v>4433</v>
      </c>
      <c r="B242" s="8" t="s">
        <v>4850</v>
      </c>
      <c r="C242" s="31" t="s">
        <v>4851</v>
      </c>
      <c r="D242" s="8" t="s">
        <v>1877</v>
      </c>
      <c r="E242" s="8" t="s">
        <v>4436</v>
      </c>
      <c r="F242" s="11" t="s">
        <v>24</v>
      </c>
      <c r="G242" s="11" t="s">
        <v>24</v>
      </c>
      <c r="H242" s="1"/>
      <c r="I242" s="1"/>
      <c r="J242" s="1"/>
    </row>
    <row r="243" spans="1:10" x14ac:dyDescent="0.25">
      <c r="A243" s="8" t="s">
        <v>4433</v>
      </c>
      <c r="B243" s="8" t="s">
        <v>4852</v>
      </c>
      <c r="C243" s="31" t="s">
        <v>4853</v>
      </c>
      <c r="D243" s="8" t="s">
        <v>1877</v>
      </c>
      <c r="E243" s="8" t="s">
        <v>4499</v>
      </c>
      <c r="F243" s="11" t="s">
        <v>24</v>
      </c>
      <c r="G243" s="11" t="s">
        <v>24</v>
      </c>
      <c r="H243" s="1"/>
      <c r="I243" s="1"/>
      <c r="J243" s="1"/>
    </row>
    <row r="244" spans="1:10" x14ac:dyDescent="0.25">
      <c r="A244" s="8" t="s">
        <v>4433</v>
      </c>
      <c r="B244" s="8" t="s">
        <v>4854</v>
      </c>
      <c r="C244" s="31">
        <v>3750</v>
      </c>
      <c r="D244" s="8" t="s">
        <v>1877</v>
      </c>
      <c r="E244" s="8" t="s">
        <v>4501</v>
      </c>
      <c r="F244" s="11" t="s">
        <v>195</v>
      </c>
      <c r="G244" s="11" t="s">
        <v>24</v>
      </c>
      <c r="H244" s="1"/>
      <c r="I244" s="1"/>
      <c r="J244" s="1"/>
    </row>
    <row r="245" spans="1:10" x14ac:dyDescent="0.25">
      <c r="A245" s="8" t="s">
        <v>4433</v>
      </c>
      <c r="B245" s="8" t="s">
        <v>4855</v>
      </c>
      <c r="C245" s="31" t="s">
        <v>4856</v>
      </c>
      <c r="D245" s="8" t="s">
        <v>1877</v>
      </c>
      <c r="E245" s="8" t="s">
        <v>4473</v>
      </c>
      <c r="F245" s="11" t="s">
        <v>24</v>
      </c>
      <c r="G245" s="11" t="s">
        <v>24</v>
      </c>
      <c r="H245" s="1"/>
      <c r="I245" s="1"/>
      <c r="J245" s="1"/>
    </row>
    <row r="246" spans="1:10" x14ac:dyDescent="0.25">
      <c r="A246" s="8" t="s">
        <v>4433</v>
      </c>
      <c r="B246" s="8" t="s">
        <v>4857</v>
      </c>
      <c r="C246" s="31" t="s">
        <v>4858</v>
      </c>
      <c r="D246" s="8" t="s">
        <v>1877</v>
      </c>
      <c r="E246" s="8" t="s">
        <v>4439</v>
      </c>
      <c r="F246" s="11" t="s">
        <v>24</v>
      </c>
      <c r="G246" s="11" t="s">
        <v>24</v>
      </c>
      <c r="H246" s="1"/>
      <c r="I246" s="1"/>
      <c r="J246" s="1"/>
    </row>
    <row r="247" spans="1:10" x14ac:dyDescent="0.25">
      <c r="A247" s="8" t="s">
        <v>4433</v>
      </c>
      <c r="B247" s="8" t="s">
        <v>4859</v>
      </c>
      <c r="C247" s="31" t="s">
        <v>4860</v>
      </c>
      <c r="D247" s="8" t="s">
        <v>1877</v>
      </c>
      <c r="E247" s="8" t="s">
        <v>4436</v>
      </c>
      <c r="F247" s="11" t="s">
        <v>24</v>
      </c>
      <c r="G247" s="11" t="s">
        <v>24</v>
      </c>
      <c r="H247" s="1"/>
      <c r="I247" s="1"/>
      <c r="J247" s="1"/>
    </row>
    <row r="248" spans="1:10" x14ac:dyDescent="0.25">
      <c r="A248" s="8" t="s">
        <v>4433</v>
      </c>
      <c r="B248" s="8" t="s">
        <v>4861</v>
      </c>
      <c r="C248" s="31" t="s">
        <v>4862</v>
      </c>
      <c r="D248" s="8" t="s">
        <v>1877</v>
      </c>
      <c r="E248" s="8" t="s">
        <v>4442</v>
      </c>
      <c r="F248" s="11" t="s">
        <v>195</v>
      </c>
      <c r="G248" s="11" t="s">
        <v>24</v>
      </c>
      <c r="H248" s="1"/>
      <c r="I248" s="1"/>
      <c r="J248" s="1"/>
    </row>
    <row r="249" spans="1:10" x14ac:dyDescent="0.25">
      <c r="A249" s="8" t="s">
        <v>4433</v>
      </c>
      <c r="B249" s="8" t="s">
        <v>4863</v>
      </c>
      <c r="C249" s="31" t="s">
        <v>4864</v>
      </c>
      <c r="D249" s="8" t="s">
        <v>1877</v>
      </c>
      <c r="E249" s="8" t="s">
        <v>4442</v>
      </c>
      <c r="F249" s="11" t="s">
        <v>195</v>
      </c>
      <c r="G249" s="11" t="s">
        <v>24</v>
      </c>
      <c r="H249" s="1"/>
      <c r="I249" s="1"/>
      <c r="J249" s="1"/>
    </row>
    <row r="250" spans="1:10" x14ac:dyDescent="0.25">
      <c r="A250" s="8" t="s">
        <v>4433</v>
      </c>
      <c r="B250" s="8" t="s">
        <v>4865</v>
      </c>
      <c r="C250" s="31" t="s">
        <v>4866</v>
      </c>
      <c r="D250" s="8" t="s">
        <v>1877</v>
      </c>
      <c r="E250" s="8" t="s">
        <v>4540</v>
      </c>
      <c r="F250" s="11" t="s">
        <v>24</v>
      </c>
      <c r="G250" s="11" t="s">
        <v>24</v>
      </c>
      <c r="H250" s="1"/>
      <c r="I250" s="1"/>
      <c r="J250" s="1"/>
    </row>
    <row r="251" spans="1:10" x14ac:dyDescent="0.25">
      <c r="A251" s="8" t="s">
        <v>4433</v>
      </c>
      <c r="B251" s="8" t="s">
        <v>4867</v>
      </c>
      <c r="C251" s="31" t="s">
        <v>4868</v>
      </c>
      <c r="D251" s="8" t="s">
        <v>1877</v>
      </c>
      <c r="E251" s="8" t="s">
        <v>4436</v>
      </c>
      <c r="F251" s="11" t="s">
        <v>24</v>
      </c>
      <c r="G251" s="11" t="s">
        <v>24</v>
      </c>
      <c r="H251" s="1"/>
      <c r="I251" s="1"/>
      <c r="J251" s="1"/>
    </row>
    <row r="252" spans="1:10" x14ac:dyDescent="0.25">
      <c r="A252" s="8" t="s">
        <v>4433</v>
      </c>
      <c r="B252" s="8" t="s">
        <v>4869</v>
      </c>
      <c r="C252" s="31" t="s">
        <v>4870</v>
      </c>
      <c r="D252" s="8" t="s">
        <v>1877</v>
      </c>
      <c r="E252" s="8" t="s">
        <v>4436</v>
      </c>
      <c r="F252" s="11" t="s">
        <v>24</v>
      </c>
      <c r="G252" s="11" t="s">
        <v>24</v>
      </c>
      <c r="H252" s="1"/>
      <c r="I252" s="1"/>
      <c r="J252" s="1"/>
    </row>
    <row r="253" spans="1:10" x14ac:dyDescent="0.25">
      <c r="A253" s="8" t="s">
        <v>4433</v>
      </c>
      <c r="B253" s="8" t="s">
        <v>4871</v>
      </c>
      <c r="C253" s="31">
        <v>2007</v>
      </c>
      <c r="D253" s="8" t="s">
        <v>1877</v>
      </c>
      <c r="E253" s="8" t="s">
        <v>4501</v>
      </c>
      <c r="F253" s="11" t="s">
        <v>24</v>
      </c>
      <c r="G253" s="11" t="s">
        <v>24</v>
      </c>
      <c r="H253" s="1"/>
      <c r="I253" s="1"/>
      <c r="J253" s="1"/>
    </row>
    <row r="254" spans="1:10" x14ac:dyDescent="0.25">
      <c r="A254" s="8" t="s">
        <v>4433</v>
      </c>
      <c r="B254" s="8" t="s">
        <v>4872</v>
      </c>
      <c r="C254" s="31">
        <v>6098</v>
      </c>
      <c r="D254" s="8" t="s">
        <v>1877</v>
      </c>
      <c r="E254" s="8" t="s">
        <v>4501</v>
      </c>
      <c r="F254" s="11" t="s">
        <v>24</v>
      </c>
      <c r="G254" s="11" t="s">
        <v>24</v>
      </c>
      <c r="H254" s="1"/>
      <c r="I254" s="1"/>
      <c r="J254" s="1"/>
    </row>
    <row r="255" spans="1:10" x14ac:dyDescent="0.25">
      <c r="A255" s="8" t="s">
        <v>4433</v>
      </c>
      <c r="B255" s="8" t="s">
        <v>4873</v>
      </c>
      <c r="C255" s="31" t="s">
        <v>4874</v>
      </c>
      <c r="D255" s="8" t="s">
        <v>1877</v>
      </c>
      <c r="E255" s="8" t="s">
        <v>4473</v>
      </c>
      <c r="F255" s="11" t="s">
        <v>24</v>
      </c>
      <c r="G255" s="11" t="s">
        <v>24</v>
      </c>
      <c r="H255" s="1"/>
      <c r="I255" s="1"/>
      <c r="J255" s="1"/>
    </row>
    <row r="256" spans="1:10" x14ac:dyDescent="0.25">
      <c r="A256" s="8" t="s">
        <v>4433</v>
      </c>
      <c r="B256" s="8" t="s">
        <v>4875</v>
      </c>
      <c r="C256" s="31" t="s">
        <v>4876</v>
      </c>
      <c r="D256" s="8" t="s">
        <v>1877</v>
      </c>
      <c r="E256" s="8" t="s">
        <v>4468</v>
      </c>
      <c r="F256" s="11" t="s">
        <v>24</v>
      </c>
      <c r="G256" s="11" t="s">
        <v>24</v>
      </c>
      <c r="H256" s="1"/>
      <c r="I256" s="1"/>
      <c r="J256" s="1"/>
    </row>
    <row r="257" spans="1:10" x14ac:dyDescent="0.25">
      <c r="A257" s="8" t="s">
        <v>4433</v>
      </c>
      <c r="B257" s="8" t="s">
        <v>4877</v>
      </c>
      <c r="C257" s="31" t="s">
        <v>4878</v>
      </c>
      <c r="D257" s="8" t="s">
        <v>1877</v>
      </c>
      <c r="E257" s="8" t="s">
        <v>4439</v>
      </c>
      <c r="F257" s="11" t="s">
        <v>24</v>
      </c>
      <c r="G257" s="11" t="s">
        <v>24</v>
      </c>
      <c r="H257" s="1"/>
      <c r="I257" s="1"/>
      <c r="J257" s="1"/>
    </row>
    <row r="258" spans="1:10" x14ac:dyDescent="0.25">
      <c r="A258" s="8" t="s">
        <v>4433</v>
      </c>
      <c r="B258" s="8" t="s">
        <v>4879</v>
      </c>
      <c r="C258" s="31" t="s">
        <v>4880</v>
      </c>
      <c r="D258" s="8" t="s">
        <v>1877</v>
      </c>
      <c r="E258" s="8" t="s">
        <v>4436</v>
      </c>
      <c r="F258" s="11" t="s">
        <v>195</v>
      </c>
      <c r="G258" s="11" t="s">
        <v>24</v>
      </c>
      <c r="H258" s="1"/>
      <c r="I258" s="1"/>
      <c r="J258" s="1"/>
    </row>
    <row r="259" spans="1:10" x14ac:dyDescent="0.25">
      <c r="A259" s="8" t="s">
        <v>4433</v>
      </c>
      <c r="B259" s="8" t="s">
        <v>4881</v>
      </c>
      <c r="C259" s="31" t="s">
        <v>4882</v>
      </c>
      <c r="D259" s="8" t="s">
        <v>1877</v>
      </c>
      <c r="E259" s="8" t="s">
        <v>4439</v>
      </c>
      <c r="F259" s="11" t="s">
        <v>24</v>
      </c>
      <c r="G259" s="11" t="s">
        <v>24</v>
      </c>
      <c r="H259" s="1"/>
      <c r="I259" s="1"/>
      <c r="J259" s="1"/>
    </row>
    <row r="260" spans="1:10" x14ac:dyDescent="0.25">
      <c r="A260" s="8" t="s">
        <v>4433</v>
      </c>
      <c r="B260" s="8" t="s">
        <v>4883</v>
      </c>
      <c r="C260" s="31" t="s">
        <v>4884</v>
      </c>
      <c r="D260" s="8" t="s">
        <v>1877</v>
      </c>
      <c r="E260" s="8" t="s">
        <v>4436</v>
      </c>
      <c r="F260" s="11" t="s">
        <v>24</v>
      </c>
      <c r="G260" s="11" t="s">
        <v>24</v>
      </c>
      <c r="H260" s="1"/>
      <c r="I260" s="1"/>
      <c r="J260" s="1"/>
    </row>
    <row r="261" spans="1:10" x14ac:dyDescent="0.25">
      <c r="A261" s="8" t="s">
        <v>4433</v>
      </c>
      <c r="B261" s="8" t="s">
        <v>4885</v>
      </c>
      <c r="C261" s="31" t="s">
        <v>4886</v>
      </c>
      <c r="D261" s="8" t="s">
        <v>1881</v>
      </c>
      <c r="E261" s="8" t="s">
        <v>4442</v>
      </c>
      <c r="F261" s="11" t="s">
        <v>24</v>
      </c>
      <c r="G261" s="11" t="s">
        <v>24</v>
      </c>
      <c r="H261" s="1"/>
      <c r="I261" s="1"/>
      <c r="J261" s="1"/>
    </row>
    <row r="262" spans="1:10" x14ac:dyDescent="0.25">
      <c r="A262" s="8" t="s">
        <v>4433</v>
      </c>
      <c r="B262" s="8" t="s">
        <v>4887</v>
      </c>
      <c r="C262" s="31">
        <v>1093</v>
      </c>
      <c r="D262" s="8" t="s">
        <v>1877</v>
      </c>
      <c r="E262" s="8" t="s">
        <v>4501</v>
      </c>
      <c r="F262" s="11" t="s">
        <v>24</v>
      </c>
      <c r="G262" s="11" t="s">
        <v>24</v>
      </c>
      <c r="H262" s="1"/>
      <c r="I262" s="1"/>
      <c r="J262" s="1"/>
    </row>
    <row r="263" spans="1:10" x14ac:dyDescent="0.25">
      <c r="A263" s="8" t="s">
        <v>4433</v>
      </c>
      <c r="B263" s="8" t="s">
        <v>4888</v>
      </c>
      <c r="C263" s="31" t="s">
        <v>4889</v>
      </c>
      <c r="D263" s="8" t="s">
        <v>1877</v>
      </c>
      <c r="E263" s="8" t="s">
        <v>4436</v>
      </c>
      <c r="F263" s="11" t="s">
        <v>24</v>
      </c>
      <c r="G263" s="11" t="s">
        <v>24</v>
      </c>
      <c r="H263" s="1"/>
      <c r="I263" s="1"/>
      <c r="J263" s="1"/>
    </row>
    <row r="264" spans="1:10" x14ac:dyDescent="0.25">
      <c r="A264" s="8" t="s">
        <v>4433</v>
      </c>
      <c r="B264" s="8" t="s">
        <v>4890</v>
      </c>
      <c r="C264" s="31" t="s">
        <v>2517</v>
      </c>
      <c r="D264" s="8" t="s">
        <v>1877</v>
      </c>
      <c r="E264" s="8" t="s">
        <v>4540</v>
      </c>
      <c r="F264" s="11" t="s">
        <v>24</v>
      </c>
      <c r="G264" s="11" t="s">
        <v>24</v>
      </c>
      <c r="H264" s="1"/>
      <c r="I264" s="1"/>
      <c r="J264" s="1"/>
    </row>
    <row r="265" spans="1:10" x14ac:dyDescent="0.25">
      <c r="A265" s="8" t="s">
        <v>4433</v>
      </c>
      <c r="B265" s="8" t="s">
        <v>4891</v>
      </c>
      <c r="C265" s="31" t="s">
        <v>4892</v>
      </c>
      <c r="D265" s="8" t="s">
        <v>1881</v>
      </c>
      <c r="E265" s="8" t="s">
        <v>4442</v>
      </c>
      <c r="F265" s="11" t="s">
        <v>195</v>
      </c>
      <c r="G265" s="11" t="s">
        <v>24</v>
      </c>
      <c r="H265" s="1"/>
      <c r="I265" s="1"/>
      <c r="J265" s="1"/>
    </row>
    <row r="266" spans="1:10" x14ac:dyDescent="0.25">
      <c r="A266" s="8" t="s">
        <v>4433</v>
      </c>
      <c r="B266" s="8" t="s">
        <v>4893</v>
      </c>
      <c r="C266" s="31" t="s">
        <v>4894</v>
      </c>
      <c r="D266" s="8" t="s">
        <v>1877</v>
      </c>
      <c r="E266" s="8" t="s">
        <v>4442</v>
      </c>
      <c r="F266" s="11" t="s">
        <v>24</v>
      </c>
      <c r="G266" s="11" t="s">
        <v>24</v>
      </c>
      <c r="H266" s="1"/>
      <c r="I266" s="1"/>
      <c r="J266" s="1"/>
    </row>
    <row r="267" spans="1:10" x14ac:dyDescent="0.25">
      <c r="A267" s="8" t="s">
        <v>4433</v>
      </c>
      <c r="B267" s="8" t="s">
        <v>4895</v>
      </c>
      <c r="C267" s="31" t="s">
        <v>4896</v>
      </c>
      <c r="D267" s="8" t="s">
        <v>1877</v>
      </c>
      <c r="E267" s="8" t="s">
        <v>4442</v>
      </c>
      <c r="F267" s="11" t="s">
        <v>24</v>
      </c>
      <c r="G267" s="11" t="s">
        <v>24</v>
      </c>
      <c r="H267" s="1"/>
      <c r="I267" s="1"/>
      <c r="J267" s="1"/>
    </row>
    <row r="268" spans="1:10" x14ac:dyDescent="0.25">
      <c r="A268" s="8" t="s">
        <v>4433</v>
      </c>
      <c r="B268" s="8" t="s">
        <v>4897</v>
      </c>
      <c r="C268" s="31" t="s">
        <v>4898</v>
      </c>
      <c r="D268" s="8" t="s">
        <v>1877</v>
      </c>
      <c r="E268" s="8" t="s">
        <v>4471</v>
      </c>
      <c r="F268" s="11" t="s">
        <v>24</v>
      </c>
      <c r="G268" s="11" t="s">
        <v>24</v>
      </c>
      <c r="H268" s="1"/>
      <c r="I268" s="1"/>
      <c r="J268" s="1"/>
    </row>
    <row r="269" spans="1:10" x14ac:dyDescent="0.25">
      <c r="A269" s="8" t="s">
        <v>4433</v>
      </c>
      <c r="B269" s="8" t="s">
        <v>4899</v>
      </c>
      <c r="C269" s="31">
        <v>4568</v>
      </c>
      <c r="D269" s="8" t="s">
        <v>1877</v>
      </c>
      <c r="E269" s="8" t="s">
        <v>4701</v>
      </c>
      <c r="F269" s="11" t="s">
        <v>24</v>
      </c>
      <c r="G269" s="11" t="s">
        <v>24</v>
      </c>
      <c r="H269" s="1"/>
      <c r="I269" s="1"/>
      <c r="J269" s="1"/>
    </row>
    <row r="270" spans="1:10" x14ac:dyDescent="0.25">
      <c r="A270" s="8" t="s">
        <v>4433</v>
      </c>
      <c r="B270" s="8" t="s">
        <v>4900</v>
      </c>
      <c r="C270" s="31" t="s">
        <v>4901</v>
      </c>
      <c r="D270" s="8" t="s">
        <v>1877</v>
      </c>
      <c r="E270" s="8" t="s">
        <v>4473</v>
      </c>
      <c r="F270" s="11" t="s">
        <v>24</v>
      </c>
      <c r="G270" s="11" t="s">
        <v>24</v>
      </c>
      <c r="H270" s="1"/>
      <c r="I270" s="1"/>
      <c r="J270" s="1"/>
    </row>
    <row r="271" spans="1:10" x14ac:dyDescent="0.25">
      <c r="A271" s="8" t="s">
        <v>4433</v>
      </c>
      <c r="B271" s="8" t="s">
        <v>4902</v>
      </c>
      <c r="C271" s="31" t="s">
        <v>4903</v>
      </c>
      <c r="D271" s="8" t="s">
        <v>1877</v>
      </c>
      <c r="E271" s="8" t="s">
        <v>4442</v>
      </c>
      <c r="F271" s="11" t="s">
        <v>195</v>
      </c>
      <c r="G271" s="11" t="s">
        <v>24</v>
      </c>
      <c r="H271" s="1"/>
      <c r="I271" s="1"/>
      <c r="J271" s="1"/>
    </row>
    <row r="272" spans="1:10" x14ac:dyDescent="0.25">
      <c r="A272" s="8" t="s">
        <v>4433</v>
      </c>
      <c r="B272" s="8" t="s">
        <v>4904</v>
      </c>
      <c r="C272" s="31" t="s">
        <v>4905</v>
      </c>
      <c r="D272" s="8" t="s">
        <v>1877</v>
      </c>
      <c r="E272" s="8" t="s">
        <v>4468</v>
      </c>
      <c r="F272" s="11" t="s">
        <v>24</v>
      </c>
      <c r="G272" s="11" t="s">
        <v>24</v>
      </c>
      <c r="H272" s="1"/>
      <c r="I272" s="1"/>
      <c r="J272" s="1"/>
    </row>
    <row r="273" spans="1:10" x14ac:dyDescent="0.25">
      <c r="A273" s="8" t="s">
        <v>4433</v>
      </c>
      <c r="B273" s="8" t="s">
        <v>4906</v>
      </c>
      <c r="C273" s="31" t="s">
        <v>4907</v>
      </c>
      <c r="D273" s="8" t="s">
        <v>1877</v>
      </c>
      <c r="E273" s="8" t="s">
        <v>4445</v>
      </c>
      <c r="F273" s="11" t="s">
        <v>24</v>
      </c>
      <c r="G273" s="11" t="s">
        <v>24</v>
      </c>
      <c r="H273" s="1"/>
      <c r="I273" s="1"/>
      <c r="J273" s="1"/>
    </row>
    <row r="274" spans="1:10" x14ac:dyDescent="0.25">
      <c r="A274" s="8" t="s">
        <v>4433</v>
      </c>
      <c r="B274" s="8" t="s">
        <v>4908</v>
      </c>
      <c r="C274" s="31" t="s">
        <v>4909</v>
      </c>
      <c r="D274" s="8" t="s">
        <v>1877</v>
      </c>
      <c r="E274" s="8" t="s">
        <v>4468</v>
      </c>
      <c r="F274" s="11" t="s">
        <v>24</v>
      </c>
      <c r="G274" s="11" t="s">
        <v>24</v>
      </c>
      <c r="H274" s="1"/>
      <c r="I274" s="1"/>
      <c r="J274" s="1"/>
    </row>
    <row r="275" spans="1:10" x14ac:dyDescent="0.25">
      <c r="A275" s="8" t="s">
        <v>4433</v>
      </c>
      <c r="B275" s="8" t="s">
        <v>4910</v>
      </c>
      <c r="C275" s="31" t="s">
        <v>4911</v>
      </c>
      <c r="D275" s="8" t="s">
        <v>1877</v>
      </c>
      <c r="E275" s="8" t="s">
        <v>4436</v>
      </c>
      <c r="F275" s="11" t="s">
        <v>24</v>
      </c>
      <c r="G275" s="11" t="s">
        <v>24</v>
      </c>
      <c r="H275" s="1"/>
      <c r="I275" s="1"/>
      <c r="J275" s="1"/>
    </row>
    <row r="276" spans="1:10" x14ac:dyDescent="0.25">
      <c r="A276" s="8" t="s">
        <v>4433</v>
      </c>
      <c r="B276" s="8" t="s">
        <v>4912</v>
      </c>
      <c r="C276" s="31" t="s">
        <v>4913</v>
      </c>
      <c r="D276" s="8" t="s">
        <v>1877</v>
      </c>
      <c r="E276" s="8" t="s">
        <v>4450</v>
      </c>
      <c r="F276" s="11" t="s">
        <v>24</v>
      </c>
      <c r="G276" s="11" t="s">
        <v>24</v>
      </c>
      <c r="H276" s="1"/>
      <c r="I276" s="1"/>
      <c r="J276" s="1"/>
    </row>
    <row r="277" spans="1:10" x14ac:dyDescent="0.25">
      <c r="A277" s="8" t="s">
        <v>4433</v>
      </c>
      <c r="B277" s="8" t="s">
        <v>4914</v>
      </c>
      <c r="C277" s="31" t="s">
        <v>4915</v>
      </c>
      <c r="D277" s="8" t="s">
        <v>1877</v>
      </c>
      <c r="E277" s="8" t="s">
        <v>4768</v>
      </c>
      <c r="F277" s="11" t="s">
        <v>24</v>
      </c>
      <c r="G277" s="11" t="s">
        <v>24</v>
      </c>
      <c r="H277" s="1"/>
      <c r="I277" s="1"/>
      <c r="J277" s="1"/>
    </row>
    <row r="278" spans="1:10" x14ac:dyDescent="0.25">
      <c r="A278" s="8" t="s">
        <v>4433</v>
      </c>
      <c r="B278" s="8" t="s">
        <v>4916</v>
      </c>
      <c r="C278" s="31" t="s">
        <v>2699</v>
      </c>
      <c r="D278" s="8" t="s">
        <v>1877</v>
      </c>
      <c r="E278" s="8" t="s">
        <v>4439</v>
      </c>
      <c r="F278" s="11" t="s">
        <v>24</v>
      </c>
      <c r="G278" s="11" t="s">
        <v>24</v>
      </c>
      <c r="H278" s="1"/>
      <c r="I278" s="1"/>
      <c r="J278" s="1"/>
    </row>
    <row r="279" spans="1:10" x14ac:dyDescent="0.25">
      <c r="A279" s="8" t="s">
        <v>4433</v>
      </c>
      <c r="B279" s="8" t="s">
        <v>4917</v>
      </c>
      <c r="C279" s="31" t="s">
        <v>4918</v>
      </c>
      <c r="D279" s="8" t="s">
        <v>1877</v>
      </c>
      <c r="E279" s="8" t="s">
        <v>4442</v>
      </c>
      <c r="F279" s="11" t="s">
        <v>24</v>
      </c>
      <c r="G279" s="11" t="s">
        <v>24</v>
      </c>
      <c r="H279" s="1"/>
      <c r="I279" s="1"/>
      <c r="J279" s="1"/>
    </row>
    <row r="280" spans="1:10" x14ac:dyDescent="0.25">
      <c r="A280" s="8" t="s">
        <v>4433</v>
      </c>
      <c r="B280" s="8" t="s">
        <v>4919</v>
      </c>
      <c r="C280" s="31" t="s">
        <v>4920</v>
      </c>
      <c r="D280" s="8" t="s">
        <v>1877</v>
      </c>
      <c r="E280" s="8" t="s">
        <v>4445</v>
      </c>
      <c r="F280" s="11" t="s">
        <v>24</v>
      </c>
      <c r="G280" s="11" t="s">
        <v>24</v>
      </c>
      <c r="H280" s="1"/>
      <c r="I280" s="1"/>
      <c r="J280" s="1"/>
    </row>
    <row r="281" spans="1:10" x14ac:dyDescent="0.25">
      <c r="A281" s="8" t="s">
        <v>4433</v>
      </c>
      <c r="B281" s="8" t="s">
        <v>4921</v>
      </c>
      <c r="C281" s="31" t="s">
        <v>4922</v>
      </c>
      <c r="D281" s="8" t="s">
        <v>1877</v>
      </c>
      <c r="E281" s="8" t="s">
        <v>4499</v>
      </c>
      <c r="F281" s="11" t="s">
        <v>195</v>
      </c>
      <c r="G281" s="11" t="s">
        <v>24</v>
      </c>
      <c r="H281" s="1"/>
      <c r="I281" s="1"/>
      <c r="J281" s="1"/>
    </row>
    <row r="282" spans="1:10" x14ac:dyDescent="0.25">
      <c r="A282" s="8" t="s">
        <v>4433</v>
      </c>
      <c r="B282" s="8" t="s">
        <v>4923</v>
      </c>
      <c r="C282" s="31" t="s">
        <v>4924</v>
      </c>
      <c r="D282" s="8" t="s">
        <v>1877</v>
      </c>
      <c r="E282" s="8" t="s">
        <v>4473</v>
      </c>
      <c r="F282" s="11" t="s">
        <v>24</v>
      </c>
      <c r="G282" s="11" t="s">
        <v>24</v>
      </c>
      <c r="H282" s="1"/>
      <c r="I282" s="1"/>
      <c r="J282" s="1"/>
    </row>
    <row r="283" spans="1:10" x14ac:dyDescent="0.25">
      <c r="A283" s="8" t="s">
        <v>4433</v>
      </c>
      <c r="B283" s="8" t="s">
        <v>4925</v>
      </c>
      <c r="C283" s="31" t="s">
        <v>4926</v>
      </c>
      <c r="D283" s="8" t="s">
        <v>1877</v>
      </c>
      <c r="E283" s="8" t="s">
        <v>4473</v>
      </c>
      <c r="F283" s="11" t="s">
        <v>24</v>
      </c>
      <c r="G283" s="11" t="s">
        <v>24</v>
      </c>
      <c r="H283" s="1"/>
      <c r="I283" s="1"/>
      <c r="J283" s="1"/>
    </row>
    <row r="284" spans="1:10" x14ac:dyDescent="0.25">
      <c r="A284" s="8" t="s">
        <v>4433</v>
      </c>
      <c r="B284" s="8" t="s">
        <v>4927</v>
      </c>
      <c r="C284" s="31" t="s">
        <v>4928</v>
      </c>
      <c r="D284" s="8" t="s">
        <v>1877</v>
      </c>
      <c r="E284" s="8" t="s">
        <v>4473</v>
      </c>
      <c r="F284" s="11" t="s">
        <v>24</v>
      </c>
      <c r="G284" s="11" t="s">
        <v>24</v>
      </c>
      <c r="H284" s="1"/>
      <c r="I284" s="1"/>
      <c r="J284" s="1"/>
    </row>
    <row r="285" spans="1:10" x14ac:dyDescent="0.25">
      <c r="A285" s="8" t="s">
        <v>4433</v>
      </c>
      <c r="B285" s="8" t="s">
        <v>4929</v>
      </c>
      <c r="C285" s="31" t="s">
        <v>4930</v>
      </c>
      <c r="D285" s="8" t="s">
        <v>1877</v>
      </c>
      <c r="E285" s="8" t="s">
        <v>4473</v>
      </c>
      <c r="F285" s="11" t="s">
        <v>24</v>
      </c>
      <c r="G285" s="11" t="s">
        <v>24</v>
      </c>
      <c r="H285" s="1"/>
      <c r="I285" s="1"/>
      <c r="J285" s="1"/>
    </row>
    <row r="286" spans="1:10" x14ac:dyDescent="0.25">
      <c r="A286" s="8" t="s">
        <v>4433</v>
      </c>
      <c r="B286" s="8" t="s">
        <v>4931</v>
      </c>
      <c r="C286" s="31" t="s">
        <v>4932</v>
      </c>
      <c r="D286" s="8" t="s">
        <v>1877</v>
      </c>
      <c r="E286" s="8" t="s">
        <v>4442</v>
      </c>
      <c r="F286" s="11" t="s">
        <v>24</v>
      </c>
      <c r="G286" s="11" t="s">
        <v>24</v>
      </c>
      <c r="H286" s="1"/>
      <c r="I286" s="1"/>
      <c r="J286" s="1"/>
    </row>
    <row r="287" spans="1:10" x14ac:dyDescent="0.25">
      <c r="A287" s="8" t="s">
        <v>4433</v>
      </c>
      <c r="B287" s="8" t="s">
        <v>4933</v>
      </c>
      <c r="C287" s="31" t="s">
        <v>4934</v>
      </c>
      <c r="D287" s="8" t="s">
        <v>1877</v>
      </c>
      <c r="E287" s="8" t="s">
        <v>4436</v>
      </c>
      <c r="F287" s="11" t="s">
        <v>24</v>
      </c>
      <c r="G287" s="11" t="s">
        <v>24</v>
      </c>
      <c r="H287" s="1"/>
      <c r="I287" s="1"/>
      <c r="J287" s="1"/>
    </row>
    <row r="288" spans="1:10" x14ac:dyDescent="0.25">
      <c r="A288" s="8" t="s">
        <v>4433</v>
      </c>
      <c r="B288" s="8" t="s">
        <v>4935</v>
      </c>
      <c r="C288" s="31" t="s">
        <v>4936</v>
      </c>
      <c r="D288" s="8" t="s">
        <v>1877</v>
      </c>
      <c r="E288" s="8" t="s">
        <v>4768</v>
      </c>
      <c r="F288" s="11" t="s">
        <v>24</v>
      </c>
      <c r="G288" s="11" t="s">
        <v>24</v>
      </c>
      <c r="H288" s="1"/>
      <c r="I288" s="1"/>
      <c r="J288" s="1"/>
    </row>
    <row r="289" spans="1:10" x14ac:dyDescent="0.25">
      <c r="A289" s="8" t="s">
        <v>4433</v>
      </c>
      <c r="B289" s="8" t="s">
        <v>4937</v>
      </c>
      <c r="C289" s="31" t="s">
        <v>4938</v>
      </c>
      <c r="D289" s="8" t="s">
        <v>1877</v>
      </c>
      <c r="E289" s="8" t="s">
        <v>4439</v>
      </c>
      <c r="F289" s="11" t="s">
        <v>24</v>
      </c>
      <c r="G289" s="11" t="s">
        <v>24</v>
      </c>
      <c r="H289" s="1"/>
      <c r="I289" s="1"/>
      <c r="J289" s="1"/>
    </row>
    <row r="290" spans="1:10" x14ac:dyDescent="0.25">
      <c r="A290" s="8" t="s">
        <v>4433</v>
      </c>
      <c r="B290" s="8" t="s">
        <v>4939</v>
      </c>
      <c r="C290" s="31" t="s">
        <v>2918</v>
      </c>
      <c r="D290" s="8" t="s">
        <v>1877</v>
      </c>
      <c r="E290" s="8" t="s">
        <v>4436</v>
      </c>
      <c r="F290" s="11" t="s">
        <v>24</v>
      </c>
      <c r="G290" s="11" t="s">
        <v>24</v>
      </c>
      <c r="H290" s="1"/>
      <c r="I290" s="1"/>
      <c r="J290" s="1"/>
    </row>
    <row r="291" spans="1:10" x14ac:dyDescent="0.25">
      <c r="A291" s="8" t="s">
        <v>4433</v>
      </c>
      <c r="B291" s="8" t="s">
        <v>4940</v>
      </c>
      <c r="C291" s="31" t="s">
        <v>4941</v>
      </c>
      <c r="D291" s="8" t="s">
        <v>1877</v>
      </c>
      <c r="E291" s="8" t="s">
        <v>4450</v>
      </c>
      <c r="F291" s="11" t="s">
        <v>24</v>
      </c>
      <c r="G291" s="11" t="s">
        <v>24</v>
      </c>
      <c r="H291" s="1"/>
      <c r="I291" s="1"/>
      <c r="J291" s="1"/>
    </row>
    <row r="292" spans="1:10" x14ac:dyDescent="0.25">
      <c r="A292" s="8" t="s">
        <v>4433</v>
      </c>
      <c r="B292" s="8" t="s">
        <v>4942</v>
      </c>
      <c r="C292" s="31" t="s">
        <v>4943</v>
      </c>
      <c r="D292" s="8" t="s">
        <v>1877</v>
      </c>
      <c r="E292" s="8" t="s">
        <v>4436</v>
      </c>
      <c r="F292" s="11" t="s">
        <v>24</v>
      </c>
      <c r="G292" s="11" t="s">
        <v>24</v>
      </c>
      <c r="H292" s="1"/>
      <c r="I292" s="1"/>
      <c r="J292" s="1"/>
    </row>
    <row r="293" spans="1:10" x14ac:dyDescent="0.25">
      <c r="A293" s="8" t="s">
        <v>4433</v>
      </c>
      <c r="B293" s="8" t="s">
        <v>4944</v>
      </c>
      <c r="C293" s="31" t="s">
        <v>4945</v>
      </c>
      <c r="D293" s="8" t="s">
        <v>1877</v>
      </c>
      <c r="E293" s="8" t="s">
        <v>4436</v>
      </c>
      <c r="F293" s="11" t="s">
        <v>24</v>
      </c>
      <c r="G293" s="11" t="s">
        <v>24</v>
      </c>
      <c r="H293" s="1"/>
      <c r="I293" s="1"/>
      <c r="J293" s="1"/>
    </row>
    <row r="294" spans="1:10" x14ac:dyDescent="0.25">
      <c r="A294" s="8" t="s">
        <v>4433</v>
      </c>
      <c r="B294" s="8" t="s">
        <v>4946</v>
      </c>
      <c r="C294" s="31" t="s">
        <v>4947</v>
      </c>
      <c r="D294" s="8" t="s">
        <v>1877</v>
      </c>
      <c r="E294" s="8" t="s">
        <v>4499</v>
      </c>
      <c r="F294" s="11" t="s">
        <v>24</v>
      </c>
      <c r="G294" s="11" t="s">
        <v>24</v>
      </c>
      <c r="H294" s="1"/>
      <c r="I294" s="1"/>
      <c r="J294" s="1"/>
    </row>
    <row r="295" spans="1:10" x14ac:dyDescent="0.25">
      <c r="A295" s="8" t="s">
        <v>4433</v>
      </c>
      <c r="B295" s="8" t="s">
        <v>4948</v>
      </c>
      <c r="C295" s="31" t="s">
        <v>4949</v>
      </c>
      <c r="D295" s="8" t="s">
        <v>1877</v>
      </c>
      <c r="E295" s="8" t="s">
        <v>4442</v>
      </c>
      <c r="F295" s="11" t="s">
        <v>24</v>
      </c>
      <c r="G295" s="11" t="s">
        <v>24</v>
      </c>
      <c r="H295" s="1"/>
      <c r="I295" s="1"/>
      <c r="J295" s="1"/>
    </row>
    <row r="296" spans="1:10" x14ac:dyDescent="0.25">
      <c r="A296" s="8" t="s">
        <v>4433</v>
      </c>
      <c r="B296" s="8" t="s">
        <v>4950</v>
      </c>
      <c r="C296" s="31" t="s">
        <v>2715</v>
      </c>
      <c r="D296" s="8" t="s">
        <v>1877</v>
      </c>
      <c r="E296" s="8" t="s">
        <v>4442</v>
      </c>
      <c r="F296" s="11" t="s">
        <v>24</v>
      </c>
      <c r="G296" s="11" t="s">
        <v>24</v>
      </c>
      <c r="H296" s="1"/>
      <c r="I296" s="1"/>
      <c r="J296" s="1"/>
    </row>
    <row r="297" spans="1:10" x14ac:dyDescent="0.25">
      <c r="A297" s="8" t="s">
        <v>4433</v>
      </c>
      <c r="B297" s="8" t="s">
        <v>4951</v>
      </c>
      <c r="C297" s="31" t="s">
        <v>4952</v>
      </c>
      <c r="D297" s="8" t="s">
        <v>1991</v>
      </c>
      <c r="E297" s="8" t="s">
        <v>4473</v>
      </c>
      <c r="F297" s="11" t="s">
        <v>24</v>
      </c>
      <c r="G297" s="11" t="s">
        <v>24</v>
      </c>
      <c r="H297" s="1"/>
      <c r="I297" s="1"/>
      <c r="J297" s="1"/>
    </row>
    <row r="298" spans="1:10" x14ac:dyDescent="0.25">
      <c r="A298" s="8" t="s">
        <v>4433</v>
      </c>
      <c r="B298" s="8" t="s">
        <v>4953</v>
      </c>
      <c r="C298" s="31" t="s">
        <v>4954</v>
      </c>
      <c r="D298" s="8" t="s">
        <v>1877</v>
      </c>
      <c r="E298" s="8" t="s">
        <v>4436</v>
      </c>
      <c r="F298" s="11" t="s">
        <v>195</v>
      </c>
      <c r="G298" s="11" t="s">
        <v>24</v>
      </c>
      <c r="H298" s="1"/>
      <c r="I298" s="1"/>
      <c r="J298" s="1"/>
    </row>
    <row r="299" spans="1:10" x14ac:dyDescent="0.25">
      <c r="A299" s="8" t="s">
        <v>4433</v>
      </c>
      <c r="B299" s="8" t="s">
        <v>4955</v>
      </c>
      <c r="C299" s="31" t="s">
        <v>4956</v>
      </c>
      <c r="D299" s="8" t="s">
        <v>1877</v>
      </c>
      <c r="E299" s="8" t="s">
        <v>4463</v>
      </c>
      <c r="F299" s="11" t="s">
        <v>24</v>
      </c>
      <c r="G299" s="11" t="s">
        <v>24</v>
      </c>
      <c r="H299" s="1"/>
      <c r="I299" s="1"/>
      <c r="J299" s="1"/>
    </row>
    <row r="300" spans="1:10" x14ac:dyDescent="0.25">
      <c r="A300" s="8" t="s">
        <v>4433</v>
      </c>
      <c r="B300" s="8" t="s">
        <v>4957</v>
      </c>
      <c r="C300" s="31" t="s">
        <v>4958</v>
      </c>
      <c r="D300" s="8" t="s">
        <v>1877</v>
      </c>
      <c r="E300" s="8" t="s">
        <v>4445</v>
      </c>
      <c r="F300" s="11" t="s">
        <v>24</v>
      </c>
      <c r="G300" s="11" t="s">
        <v>24</v>
      </c>
      <c r="H300" s="1"/>
      <c r="I300" s="1"/>
      <c r="J300" s="1"/>
    </row>
    <row r="301" spans="1:10" x14ac:dyDescent="0.25">
      <c r="A301" s="8" t="s">
        <v>4433</v>
      </c>
      <c r="B301" s="8" t="s">
        <v>4959</v>
      </c>
      <c r="C301" s="31" t="s">
        <v>4960</v>
      </c>
      <c r="D301" s="8" t="s">
        <v>1877</v>
      </c>
      <c r="E301" s="8" t="s">
        <v>4436</v>
      </c>
      <c r="F301" s="11" t="s">
        <v>24</v>
      </c>
      <c r="G301" s="11" t="s">
        <v>24</v>
      </c>
      <c r="H301" s="1"/>
      <c r="I301" s="1"/>
      <c r="J301" s="1"/>
    </row>
    <row r="302" spans="1:10" x14ac:dyDescent="0.25">
      <c r="A302" s="8" t="s">
        <v>4433</v>
      </c>
      <c r="B302" s="8" t="s">
        <v>4961</v>
      </c>
      <c r="C302" s="31" t="s">
        <v>4962</v>
      </c>
      <c r="D302" s="8" t="s">
        <v>1877</v>
      </c>
      <c r="E302" s="8" t="s">
        <v>4442</v>
      </c>
      <c r="F302" s="11" t="s">
        <v>24</v>
      </c>
      <c r="G302" s="11" t="s">
        <v>24</v>
      </c>
      <c r="H302" s="1"/>
      <c r="I302" s="1"/>
      <c r="J302" s="1"/>
    </row>
    <row r="303" spans="1:10" x14ac:dyDescent="0.25">
      <c r="A303" s="8" t="s">
        <v>4433</v>
      </c>
      <c r="B303" s="8" t="s">
        <v>4963</v>
      </c>
      <c r="C303" s="31" t="s">
        <v>4964</v>
      </c>
      <c r="D303" s="8" t="s">
        <v>1877</v>
      </c>
      <c r="E303" s="8" t="s">
        <v>4442</v>
      </c>
      <c r="F303" s="11" t="s">
        <v>195</v>
      </c>
      <c r="G303" s="11" t="s">
        <v>24</v>
      </c>
      <c r="H303" s="1"/>
      <c r="I303" s="1"/>
      <c r="J303" s="1"/>
    </row>
    <row r="304" spans="1:10" x14ac:dyDescent="0.25">
      <c r="A304" s="8" t="s">
        <v>4433</v>
      </c>
      <c r="B304" s="8" t="s">
        <v>4965</v>
      </c>
      <c r="C304" s="31" t="s">
        <v>4966</v>
      </c>
      <c r="D304" s="8" t="s">
        <v>1877</v>
      </c>
      <c r="E304" s="8" t="s">
        <v>4499</v>
      </c>
      <c r="F304" s="11" t="s">
        <v>24</v>
      </c>
      <c r="G304" s="11" t="s">
        <v>24</v>
      </c>
      <c r="H304" s="1"/>
      <c r="I304" s="1"/>
      <c r="J304" s="1"/>
    </row>
    <row r="305" spans="1:10" x14ac:dyDescent="0.25">
      <c r="A305" s="8" t="s">
        <v>4433</v>
      </c>
      <c r="B305" s="8" t="s">
        <v>4967</v>
      </c>
      <c r="C305" s="31" t="s">
        <v>4968</v>
      </c>
      <c r="D305" s="8" t="s">
        <v>1877</v>
      </c>
      <c r="E305" s="8" t="s">
        <v>4473</v>
      </c>
      <c r="F305" s="11" t="s">
        <v>24</v>
      </c>
      <c r="G305" s="11" t="s">
        <v>24</v>
      </c>
      <c r="H305" s="1"/>
      <c r="I305" s="1"/>
      <c r="J305" s="1"/>
    </row>
    <row r="306" spans="1:10" x14ac:dyDescent="0.25">
      <c r="A306" s="8" t="s">
        <v>4433</v>
      </c>
      <c r="B306" s="8" t="s">
        <v>4969</v>
      </c>
      <c r="C306" s="31" t="s">
        <v>4970</v>
      </c>
      <c r="D306" s="8" t="s">
        <v>1881</v>
      </c>
      <c r="E306" s="8" t="s">
        <v>4442</v>
      </c>
      <c r="F306" s="11" t="s">
        <v>195</v>
      </c>
      <c r="G306" s="11" t="s">
        <v>24</v>
      </c>
      <c r="H306" s="1"/>
      <c r="I306" s="1"/>
      <c r="J306" s="1"/>
    </row>
    <row r="307" spans="1:10" x14ac:dyDescent="0.25">
      <c r="A307" s="8" t="s">
        <v>4433</v>
      </c>
      <c r="B307" s="8" t="s">
        <v>4971</v>
      </c>
      <c r="C307" s="31" t="s">
        <v>4972</v>
      </c>
      <c r="D307" s="8" t="s">
        <v>1877</v>
      </c>
      <c r="E307" s="8" t="s">
        <v>4436</v>
      </c>
      <c r="F307" s="11" t="s">
        <v>24</v>
      </c>
      <c r="G307" s="11" t="s">
        <v>24</v>
      </c>
      <c r="H307" s="1"/>
      <c r="I307" s="1"/>
      <c r="J307" s="1"/>
    </row>
    <row r="308" spans="1:10" x14ac:dyDescent="0.25">
      <c r="A308" s="8" t="s">
        <v>4433</v>
      </c>
      <c r="B308" s="8" t="s">
        <v>4973</v>
      </c>
      <c r="C308" s="31" t="s">
        <v>4974</v>
      </c>
      <c r="D308" s="8" t="s">
        <v>1877</v>
      </c>
      <c r="E308" s="8" t="s">
        <v>4540</v>
      </c>
      <c r="F308" s="11" t="s">
        <v>24</v>
      </c>
      <c r="G308" s="11" t="s">
        <v>24</v>
      </c>
      <c r="H308" s="1"/>
      <c r="I308" s="1"/>
      <c r="J308" s="1"/>
    </row>
    <row r="309" spans="1:10" x14ac:dyDescent="0.25">
      <c r="A309" s="8" t="s">
        <v>4433</v>
      </c>
      <c r="B309" s="8" t="s">
        <v>4975</v>
      </c>
      <c r="C309" s="31" t="s">
        <v>4976</v>
      </c>
      <c r="D309" s="8" t="s">
        <v>1877</v>
      </c>
      <c r="E309" s="8" t="s">
        <v>4540</v>
      </c>
      <c r="F309" s="11" t="s">
        <v>24</v>
      </c>
      <c r="G309" s="11" t="s">
        <v>24</v>
      </c>
      <c r="H309" s="1"/>
      <c r="I309" s="1"/>
      <c r="J309" s="1"/>
    </row>
    <row r="310" spans="1:10" x14ac:dyDescent="0.25">
      <c r="A310" s="8" t="s">
        <v>4433</v>
      </c>
      <c r="B310" s="8" t="s">
        <v>4977</v>
      </c>
      <c r="C310" s="31" t="s">
        <v>4978</v>
      </c>
      <c r="D310" s="8" t="s">
        <v>1877</v>
      </c>
      <c r="E310" s="8" t="s">
        <v>4454</v>
      </c>
      <c r="F310" s="11" t="s">
        <v>24</v>
      </c>
      <c r="G310" s="11" t="s">
        <v>24</v>
      </c>
      <c r="H310" s="1"/>
      <c r="I310" s="1"/>
      <c r="J310" s="1"/>
    </row>
    <row r="311" spans="1:10" x14ac:dyDescent="0.25">
      <c r="A311" s="8" t="s">
        <v>4433</v>
      </c>
      <c r="B311" s="8" t="s">
        <v>4979</v>
      </c>
      <c r="C311" s="31" t="s">
        <v>4980</v>
      </c>
      <c r="D311" s="8" t="s">
        <v>1877</v>
      </c>
      <c r="E311" s="8" t="s">
        <v>4436</v>
      </c>
      <c r="F311" s="11" t="s">
        <v>24</v>
      </c>
      <c r="G311" s="11" t="s">
        <v>24</v>
      </c>
      <c r="H311" s="1"/>
      <c r="I311" s="1"/>
      <c r="J311" s="1"/>
    </row>
    <row r="312" spans="1:10" x14ac:dyDescent="0.25">
      <c r="A312" s="8" t="s">
        <v>4433</v>
      </c>
      <c r="B312" s="8" t="s">
        <v>4981</v>
      </c>
      <c r="C312" s="31" t="s">
        <v>4982</v>
      </c>
      <c r="D312" s="8" t="s">
        <v>1877</v>
      </c>
      <c r="E312" s="8" t="s">
        <v>4442</v>
      </c>
      <c r="F312" s="11" t="s">
        <v>195</v>
      </c>
      <c r="G312" s="11" t="s">
        <v>24</v>
      </c>
      <c r="H312" s="1"/>
      <c r="I312" s="1"/>
      <c r="J312" s="1"/>
    </row>
    <row r="313" spans="1:10" x14ac:dyDescent="0.25">
      <c r="A313" s="8" t="s">
        <v>4433</v>
      </c>
      <c r="B313" s="8" t="s">
        <v>4983</v>
      </c>
      <c r="C313" s="31" t="s">
        <v>4984</v>
      </c>
      <c r="D313" s="8" t="s">
        <v>1877</v>
      </c>
      <c r="E313" s="8" t="s">
        <v>4442</v>
      </c>
      <c r="F313" s="11" t="s">
        <v>24</v>
      </c>
      <c r="G313" s="11" t="s">
        <v>24</v>
      </c>
      <c r="H313" s="1"/>
      <c r="I313" s="1"/>
      <c r="J313" s="1"/>
    </row>
    <row r="314" spans="1:10" x14ac:dyDescent="0.25">
      <c r="A314" s="8" t="s">
        <v>4433</v>
      </c>
      <c r="B314" s="8" t="s">
        <v>4985</v>
      </c>
      <c r="C314" s="31" t="s">
        <v>4986</v>
      </c>
      <c r="D314" s="8" t="s">
        <v>1877</v>
      </c>
      <c r="E314" s="8" t="s">
        <v>4471</v>
      </c>
      <c r="F314" s="11" t="s">
        <v>24</v>
      </c>
      <c r="G314" s="11" t="s">
        <v>24</v>
      </c>
      <c r="H314" s="1"/>
      <c r="I314" s="1"/>
      <c r="J314" s="1"/>
    </row>
    <row r="315" spans="1:10" x14ac:dyDescent="0.25">
      <c r="A315" s="8" t="s">
        <v>4433</v>
      </c>
      <c r="B315" s="8" t="s">
        <v>4987</v>
      </c>
      <c r="C315" s="31" t="s">
        <v>4988</v>
      </c>
      <c r="D315" s="8" t="s">
        <v>1877</v>
      </c>
      <c r="E315" s="8" t="s">
        <v>4499</v>
      </c>
      <c r="F315" s="11" t="s">
        <v>24</v>
      </c>
      <c r="G315" s="11" t="s">
        <v>24</v>
      </c>
      <c r="H315" s="1"/>
      <c r="I315" s="1"/>
      <c r="J315" s="1"/>
    </row>
    <row r="316" spans="1:10" x14ac:dyDescent="0.25">
      <c r="A316" s="8" t="s">
        <v>4433</v>
      </c>
      <c r="B316" s="8" t="s">
        <v>4989</v>
      </c>
      <c r="C316" s="31" t="s">
        <v>2765</v>
      </c>
      <c r="D316" s="8" t="s">
        <v>1877</v>
      </c>
      <c r="E316" s="8" t="s">
        <v>4442</v>
      </c>
      <c r="F316" s="11" t="s">
        <v>24</v>
      </c>
      <c r="G316" s="11" t="s">
        <v>24</v>
      </c>
      <c r="H316" s="1"/>
      <c r="I316" s="1"/>
      <c r="J316" s="1"/>
    </row>
    <row r="317" spans="1:10" x14ac:dyDescent="0.25">
      <c r="A317" s="8" t="s">
        <v>4433</v>
      </c>
      <c r="B317" s="8" t="s">
        <v>4990</v>
      </c>
      <c r="C317" s="31" t="s">
        <v>4991</v>
      </c>
      <c r="D317" s="8" t="s">
        <v>1877</v>
      </c>
      <c r="E317" s="8" t="s">
        <v>4490</v>
      </c>
      <c r="F317" s="11" t="s">
        <v>24</v>
      </c>
      <c r="G317" s="11" t="s">
        <v>24</v>
      </c>
      <c r="H317" s="1"/>
      <c r="I317" s="1"/>
      <c r="J317" s="1"/>
    </row>
    <row r="318" spans="1:10" x14ac:dyDescent="0.25">
      <c r="A318" s="8" t="s">
        <v>4433</v>
      </c>
      <c r="B318" s="8" t="s">
        <v>4992</v>
      </c>
      <c r="C318" s="31" t="s">
        <v>4993</v>
      </c>
      <c r="D318" s="8" t="s">
        <v>1877</v>
      </c>
      <c r="E318" s="8" t="s">
        <v>4499</v>
      </c>
      <c r="F318" s="11" t="s">
        <v>24</v>
      </c>
      <c r="G318" s="11" t="s">
        <v>24</v>
      </c>
      <c r="H318" s="1"/>
      <c r="I318" s="1"/>
      <c r="J318" s="1"/>
    </row>
    <row r="319" spans="1:10" x14ac:dyDescent="0.25">
      <c r="A319" s="8" t="s">
        <v>4433</v>
      </c>
      <c r="B319" s="8" t="s">
        <v>4994</v>
      </c>
      <c r="C319" s="31" t="s">
        <v>2773</v>
      </c>
      <c r="D319" s="8" t="s">
        <v>1877</v>
      </c>
      <c r="E319" s="8" t="s">
        <v>4439</v>
      </c>
      <c r="F319" s="11" t="s">
        <v>24</v>
      </c>
      <c r="G319" s="11" t="s">
        <v>24</v>
      </c>
      <c r="H319" s="1"/>
      <c r="I319" s="1"/>
      <c r="J319" s="1"/>
    </row>
    <row r="320" spans="1:10" x14ac:dyDescent="0.25">
      <c r="A320" s="8" t="s">
        <v>4433</v>
      </c>
      <c r="B320" s="8" t="s">
        <v>4995</v>
      </c>
      <c r="C320" s="31" t="s">
        <v>4996</v>
      </c>
      <c r="D320" s="8" t="s">
        <v>1877</v>
      </c>
      <c r="E320" s="8" t="s">
        <v>4490</v>
      </c>
      <c r="F320" s="11" t="s">
        <v>24</v>
      </c>
      <c r="G320" s="11" t="s">
        <v>24</v>
      </c>
      <c r="H320" s="1"/>
      <c r="I320" s="1"/>
      <c r="J320" s="1"/>
    </row>
    <row r="321" spans="1:10" x14ac:dyDescent="0.25">
      <c r="A321" s="8" t="s">
        <v>4433</v>
      </c>
      <c r="B321" s="8" t="s">
        <v>4997</v>
      </c>
      <c r="C321" s="31" t="s">
        <v>4998</v>
      </c>
      <c r="D321" s="8" t="s">
        <v>1877</v>
      </c>
      <c r="E321" s="8" t="s">
        <v>4450</v>
      </c>
      <c r="F321" s="11" t="s">
        <v>24</v>
      </c>
      <c r="G321" s="11" t="s">
        <v>24</v>
      </c>
      <c r="H321" s="1"/>
      <c r="I321" s="1"/>
      <c r="J321" s="1"/>
    </row>
    <row r="322" spans="1:10" x14ac:dyDescent="0.25">
      <c r="A322" s="8" t="s">
        <v>4433</v>
      </c>
      <c r="B322" s="8" t="s">
        <v>4999</v>
      </c>
      <c r="C322" s="31" t="s">
        <v>5000</v>
      </c>
      <c r="D322" s="8" t="s">
        <v>1877</v>
      </c>
      <c r="E322" s="8" t="s">
        <v>4468</v>
      </c>
      <c r="F322" s="11" t="s">
        <v>24</v>
      </c>
      <c r="G322" s="11" t="s">
        <v>24</v>
      </c>
      <c r="H322" s="1"/>
      <c r="I322" s="1"/>
      <c r="J322" s="1"/>
    </row>
    <row r="323" spans="1:10" x14ac:dyDescent="0.25">
      <c r="A323" s="8" t="s">
        <v>4433</v>
      </c>
      <c r="B323" s="8" t="s">
        <v>5001</v>
      </c>
      <c r="C323" s="31" t="s">
        <v>5002</v>
      </c>
      <c r="D323" s="8" t="s">
        <v>1877</v>
      </c>
      <c r="E323" s="8" t="s">
        <v>4450</v>
      </c>
      <c r="F323" s="11" t="s">
        <v>24</v>
      </c>
      <c r="G323" s="11" t="s">
        <v>24</v>
      </c>
      <c r="H323" s="1"/>
      <c r="I323" s="1"/>
      <c r="J323" s="1"/>
    </row>
    <row r="324" spans="1:10" x14ac:dyDescent="0.25">
      <c r="A324" s="8" t="s">
        <v>4433</v>
      </c>
      <c r="B324" s="8" t="s">
        <v>5003</v>
      </c>
      <c r="C324" s="31">
        <v>2688</v>
      </c>
      <c r="D324" s="8" t="s">
        <v>1877</v>
      </c>
      <c r="E324" s="8" t="s">
        <v>4501</v>
      </c>
      <c r="F324" s="11" t="s">
        <v>24</v>
      </c>
      <c r="G324" s="11" t="s">
        <v>24</v>
      </c>
      <c r="H324" s="1"/>
      <c r="I324" s="1"/>
      <c r="J324" s="1"/>
    </row>
    <row r="325" spans="1:10" x14ac:dyDescent="0.25">
      <c r="A325" s="8" t="s">
        <v>4433</v>
      </c>
      <c r="B325" s="8" t="s">
        <v>5004</v>
      </c>
      <c r="C325" s="31" t="s">
        <v>5005</v>
      </c>
      <c r="D325" s="8" t="s">
        <v>1877</v>
      </c>
      <c r="E325" s="8" t="s">
        <v>4436</v>
      </c>
      <c r="F325" s="11" t="s">
        <v>24</v>
      </c>
      <c r="G325" s="11" t="s">
        <v>24</v>
      </c>
      <c r="H325" s="1"/>
      <c r="I325" s="1"/>
      <c r="J325" s="1"/>
    </row>
    <row r="326" spans="1:10" x14ac:dyDescent="0.25">
      <c r="A326" s="8" t="s">
        <v>4433</v>
      </c>
      <c r="B326" s="8" t="s">
        <v>5006</v>
      </c>
      <c r="C326" s="31" t="s">
        <v>5007</v>
      </c>
      <c r="D326" s="8" t="s">
        <v>1877</v>
      </c>
      <c r="E326" s="8" t="s">
        <v>4439</v>
      </c>
      <c r="F326" s="11" t="s">
        <v>24</v>
      </c>
      <c r="G326" s="11" t="s">
        <v>24</v>
      </c>
      <c r="H326" s="1"/>
      <c r="I326" s="1"/>
      <c r="J326" s="1"/>
    </row>
    <row r="327" spans="1:10" x14ac:dyDescent="0.25">
      <c r="A327" s="8" t="s">
        <v>4433</v>
      </c>
      <c r="B327" s="8" t="s">
        <v>5008</v>
      </c>
      <c r="C327" s="31" t="s">
        <v>5009</v>
      </c>
      <c r="D327" s="8" t="s">
        <v>1877</v>
      </c>
      <c r="E327" s="8" t="s">
        <v>4436</v>
      </c>
      <c r="F327" s="11" t="s">
        <v>195</v>
      </c>
      <c r="G327" s="11" t="s">
        <v>24</v>
      </c>
      <c r="H327" s="1"/>
      <c r="I327" s="1"/>
      <c r="J327" s="1"/>
    </row>
    <row r="328" spans="1:10" x14ac:dyDescent="0.25">
      <c r="A328" s="8" t="s">
        <v>4433</v>
      </c>
      <c r="B328" s="8" t="s">
        <v>5010</v>
      </c>
      <c r="C328" s="31" t="s">
        <v>5011</v>
      </c>
      <c r="D328" s="8" t="s">
        <v>1877</v>
      </c>
      <c r="E328" s="8" t="s">
        <v>4442</v>
      </c>
      <c r="F328" s="11" t="s">
        <v>195</v>
      </c>
      <c r="G328" s="11" t="s">
        <v>24</v>
      </c>
      <c r="H328" s="1"/>
      <c r="I328" s="1"/>
      <c r="J328" s="1"/>
    </row>
    <row r="329" spans="1:10" x14ac:dyDescent="0.25">
      <c r="A329" s="8" t="s">
        <v>4433</v>
      </c>
      <c r="B329" s="8" t="s">
        <v>5012</v>
      </c>
      <c r="C329" s="31" t="s">
        <v>5013</v>
      </c>
      <c r="D329" s="8" t="s">
        <v>1881</v>
      </c>
      <c r="E329" s="8" t="s">
        <v>4436</v>
      </c>
      <c r="F329" s="11" t="s">
        <v>24</v>
      </c>
      <c r="G329" s="11" t="s">
        <v>24</v>
      </c>
      <c r="H329" s="1"/>
      <c r="I329" s="1"/>
      <c r="J329" s="1"/>
    </row>
    <row r="330" spans="1:10" x14ac:dyDescent="0.25">
      <c r="A330" s="8" t="s">
        <v>4433</v>
      </c>
      <c r="B330" s="8" t="s">
        <v>5014</v>
      </c>
      <c r="C330" s="31" t="s">
        <v>5015</v>
      </c>
      <c r="D330" s="8" t="s">
        <v>1877</v>
      </c>
      <c r="E330" s="8" t="s">
        <v>5016</v>
      </c>
      <c r="F330" s="11" t="s">
        <v>24</v>
      </c>
      <c r="G330" s="11" t="s">
        <v>24</v>
      </c>
      <c r="H330" s="1"/>
      <c r="I330" s="1"/>
      <c r="J330" s="1"/>
    </row>
    <row r="331" spans="1:10" x14ac:dyDescent="0.25">
      <c r="A331" s="8" t="s">
        <v>4433</v>
      </c>
      <c r="B331" s="8" t="s">
        <v>5017</v>
      </c>
      <c r="C331" s="31" t="s">
        <v>2775</v>
      </c>
      <c r="D331" s="8" t="s">
        <v>1877</v>
      </c>
      <c r="E331" s="8" t="s">
        <v>4450</v>
      </c>
      <c r="F331" s="11" t="s">
        <v>24</v>
      </c>
      <c r="G331" s="11" t="s">
        <v>24</v>
      </c>
      <c r="H331" s="1"/>
      <c r="I331" s="1"/>
      <c r="J331" s="1"/>
    </row>
    <row r="332" spans="1:10" x14ac:dyDescent="0.25">
      <c r="A332" s="8" t="s">
        <v>4433</v>
      </c>
      <c r="B332" s="8" t="s">
        <v>5018</v>
      </c>
      <c r="C332" s="31" t="s">
        <v>5019</v>
      </c>
      <c r="D332" s="8" t="s">
        <v>1877</v>
      </c>
      <c r="E332" s="8" t="s">
        <v>4454</v>
      </c>
      <c r="F332" s="11" t="s">
        <v>24</v>
      </c>
      <c r="G332" s="11" t="s">
        <v>24</v>
      </c>
      <c r="H332" s="1"/>
      <c r="I332" s="1"/>
      <c r="J332" s="1"/>
    </row>
    <row r="333" spans="1:10" x14ac:dyDescent="0.25">
      <c r="A333" s="8" t="s">
        <v>4433</v>
      </c>
      <c r="B333" s="8" t="s">
        <v>5020</v>
      </c>
      <c r="C333" s="31" t="s">
        <v>5021</v>
      </c>
      <c r="D333" s="8" t="s">
        <v>1877</v>
      </c>
      <c r="E333" s="8" t="s">
        <v>4468</v>
      </c>
      <c r="F333" s="11" t="s">
        <v>24</v>
      </c>
      <c r="G333" s="11" t="s">
        <v>24</v>
      </c>
      <c r="H333" s="1"/>
      <c r="I333" s="1"/>
      <c r="J333" s="1"/>
    </row>
    <row r="334" spans="1:10" x14ac:dyDescent="0.25">
      <c r="A334" s="8" t="s">
        <v>4433</v>
      </c>
      <c r="B334" s="8" t="s">
        <v>5022</v>
      </c>
      <c r="C334" s="31" t="s">
        <v>5023</v>
      </c>
      <c r="D334" s="8" t="s">
        <v>1877</v>
      </c>
      <c r="E334" s="8" t="s">
        <v>4454</v>
      </c>
      <c r="F334" s="11" t="s">
        <v>24</v>
      </c>
      <c r="G334" s="11" t="s">
        <v>24</v>
      </c>
      <c r="H334" s="1"/>
      <c r="I334" s="1"/>
      <c r="J334" s="1"/>
    </row>
    <row r="335" spans="1:10" x14ac:dyDescent="0.25">
      <c r="A335" s="8" t="s">
        <v>4433</v>
      </c>
      <c r="B335" s="8" t="s">
        <v>5024</v>
      </c>
      <c r="C335" s="31" t="s">
        <v>5025</v>
      </c>
      <c r="D335" s="8" t="s">
        <v>1877</v>
      </c>
      <c r="E335" s="8" t="s">
        <v>4468</v>
      </c>
      <c r="F335" s="11" t="s">
        <v>24</v>
      </c>
      <c r="G335" s="11" t="s">
        <v>24</v>
      </c>
      <c r="H335" s="1"/>
      <c r="I335" s="1"/>
      <c r="J335" s="1"/>
    </row>
    <row r="336" spans="1:10" x14ac:dyDescent="0.25">
      <c r="A336" s="8" t="s">
        <v>4433</v>
      </c>
      <c r="B336" s="8" t="s">
        <v>5026</v>
      </c>
      <c r="C336" s="31" t="s">
        <v>5027</v>
      </c>
      <c r="D336" s="8" t="s">
        <v>1877</v>
      </c>
      <c r="E336" s="8" t="s">
        <v>4442</v>
      </c>
      <c r="F336" s="11" t="s">
        <v>195</v>
      </c>
      <c r="G336" s="11" t="s">
        <v>24</v>
      </c>
      <c r="H336" s="1"/>
      <c r="I336" s="1"/>
      <c r="J336" s="1"/>
    </row>
    <row r="337" spans="1:10" x14ac:dyDescent="0.25">
      <c r="A337" s="8" t="s">
        <v>4433</v>
      </c>
      <c r="B337" s="8" t="s">
        <v>5028</v>
      </c>
      <c r="C337" s="31" t="s">
        <v>2811</v>
      </c>
      <c r="D337" s="8" t="s">
        <v>1877</v>
      </c>
      <c r="E337" s="8" t="s">
        <v>5029</v>
      </c>
      <c r="F337" s="11" t="s">
        <v>195</v>
      </c>
      <c r="G337" s="11" t="s">
        <v>24</v>
      </c>
      <c r="H337" s="1"/>
      <c r="I337" s="1"/>
      <c r="J337" s="1"/>
    </row>
    <row r="338" spans="1:10" x14ac:dyDescent="0.25">
      <c r="A338" s="8" t="s">
        <v>4433</v>
      </c>
      <c r="B338" s="8" t="s">
        <v>5030</v>
      </c>
      <c r="C338" s="31" t="s">
        <v>5031</v>
      </c>
      <c r="D338" s="8" t="s">
        <v>1877</v>
      </c>
      <c r="E338" s="8" t="s">
        <v>4454</v>
      </c>
      <c r="F338" s="11" t="s">
        <v>24</v>
      </c>
      <c r="G338" s="11" t="s">
        <v>24</v>
      </c>
      <c r="H338" s="1"/>
      <c r="I338" s="1"/>
      <c r="J338" s="1"/>
    </row>
    <row r="339" spans="1:10" x14ac:dyDescent="0.25">
      <c r="A339" s="8" t="s">
        <v>4433</v>
      </c>
      <c r="B339" s="8" t="s">
        <v>5032</v>
      </c>
      <c r="C339" s="31" t="s">
        <v>5033</v>
      </c>
      <c r="D339" s="8" t="s">
        <v>1877</v>
      </c>
      <c r="E339" s="8" t="s">
        <v>4436</v>
      </c>
      <c r="F339" s="11" t="s">
        <v>195</v>
      </c>
      <c r="G339" s="11" t="s">
        <v>24</v>
      </c>
      <c r="H339" s="1"/>
      <c r="I339" s="1"/>
      <c r="J339" s="1"/>
    </row>
    <row r="340" spans="1:10" x14ac:dyDescent="0.25">
      <c r="A340" s="8" t="s">
        <v>4433</v>
      </c>
      <c r="B340" s="8" t="s">
        <v>5034</v>
      </c>
      <c r="C340" s="31" t="s">
        <v>5035</v>
      </c>
      <c r="D340" s="8" t="s">
        <v>1917</v>
      </c>
      <c r="E340" s="8" t="s">
        <v>4442</v>
      </c>
      <c r="F340" s="11" t="s">
        <v>195</v>
      </c>
      <c r="G340" s="11" t="s">
        <v>24</v>
      </c>
      <c r="H340" s="1"/>
      <c r="I340" s="1"/>
      <c r="J340" s="1"/>
    </row>
    <row r="341" spans="1:10" x14ac:dyDescent="0.25">
      <c r="A341" s="8" t="s">
        <v>4433</v>
      </c>
      <c r="B341" s="8" t="s">
        <v>5036</v>
      </c>
      <c r="C341" s="31" t="s">
        <v>5037</v>
      </c>
      <c r="D341" s="8" t="s">
        <v>1877</v>
      </c>
      <c r="E341" s="8" t="s">
        <v>4436</v>
      </c>
      <c r="F341" s="11" t="s">
        <v>24</v>
      </c>
      <c r="G341" s="11" t="s">
        <v>24</v>
      </c>
      <c r="H341" s="1"/>
      <c r="I341" s="1"/>
      <c r="J341" s="1"/>
    </row>
    <row r="342" spans="1:10" x14ac:dyDescent="0.25">
      <c r="A342" s="8" t="s">
        <v>4433</v>
      </c>
      <c r="B342" s="8" t="s">
        <v>5038</v>
      </c>
      <c r="C342" s="31" t="s">
        <v>5039</v>
      </c>
      <c r="D342" s="8" t="s">
        <v>1877</v>
      </c>
      <c r="E342" s="8" t="s">
        <v>4463</v>
      </c>
      <c r="F342" s="11" t="s">
        <v>24</v>
      </c>
      <c r="G342" s="11" t="s">
        <v>24</v>
      </c>
      <c r="H342" s="1"/>
      <c r="I342" s="1"/>
      <c r="J342" s="1"/>
    </row>
    <row r="343" spans="1:10" x14ac:dyDescent="0.25">
      <c r="A343" s="8" t="s">
        <v>4433</v>
      </c>
      <c r="B343" s="8" t="s">
        <v>5040</v>
      </c>
      <c r="C343" s="31" t="s">
        <v>5041</v>
      </c>
      <c r="D343" s="8" t="s">
        <v>1877</v>
      </c>
      <c r="E343" s="8" t="s">
        <v>4439</v>
      </c>
      <c r="F343" s="11" t="s">
        <v>24</v>
      </c>
      <c r="G343" s="11" t="s">
        <v>24</v>
      </c>
      <c r="H343" s="1"/>
      <c r="I343" s="1"/>
      <c r="J343" s="1"/>
    </row>
    <row r="344" spans="1:10" x14ac:dyDescent="0.25">
      <c r="A344" s="8" t="s">
        <v>4433</v>
      </c>
      <c r="B344" s="8" t="s">
        <v>5042</v>
      </c>
      <c r="C344" s="31" t="s">
        <v>2757</v>
      </c>
      <c r="D344" s="8" t="s">
        <v>1881</v>
      </c>
      <c r="E344" s="8" t="s">
        <v>4442</v>
      </c>
      <c r="F344" s="11" t="s">
        <v>195</v>
      </c>
      <c r="G344" s="11" t="s">
        <v>24</v>
      </c>
      <c r="H344" s="1"/>
      <c r="I344" s="1"/>
      <c r="J344" s="1"/>
    </row>
    <row r="345" spans="1:10" x14ac:dyDescent="0.25">
      <c r="A345" s="8" t="s">
        <v>4433</v>
      </c>
      <c r="B345" s="8" t="s">
        <v>5043</v>
      </c>
      <c r="C345" s="31" t="s">
        <v>5044</v>
      </c>
      <c r="D345" s="8" t="s">
        <v>1877</v>
      </c>
      <c r="E345" s="8" t="s">
        <v>4442</v>
      </c>
      <c r="F345" s="11" t="s">
        <v>24</v>
      </c>
      <c r="G345" s="11" t="s">
        <v>24</v>
      </c>
      <c r="H345" s="1"/>
      <c r="I345" s="1"/>
      <c r="J345" s="1"/>
    </row>
    <row r="346" spans="1:10" x14ac:dyDescent="0.25">
      <c r="A346" s="8" t="s">
        <v>4433</v>
      </c>
      <c r="B346" s="8" t="s">
        <v>5045</v>
      </c>
      <c r="C346" s="31" t="s">
        <v>5046</v>
      </c>
      <c r="D346" s="8" t="s">
        <v>1877</v>
      </c>
      <c r="E346" s="8" t="s">
        <v>4439</v>
      </c>
      <c r="F346" s="11" t="s">
        <v>24</v>
      </c>
      <c r="G346" s="11" t="s">
        <v>24</v>
      </c>
      <c r="H346" s="1"/>
      <c r="I346" s="1"/>
      <c r="J346" s="1"/>
    </row>
    <row r="347" spans="1:10" x14ac:dyDescent="0.25">
      <c r="A347" s="8" t="s">
        <v>4433</v>
      </c>
      <c r="B347" s="8" t="s">
        <v>5047</v>
      </c>
      <c r="C347" s="31" t="s">
        <v>5048</v>
      </c>
      <c r="D347" s="8" t="s">
        <v>1877</v>
      </c>
      <c r="E347" s="8" t="s">
        <v>4436</v>
      </c>
      <c r="F347" s="11" t="s">
        <v>24</v>
      </c>
      <c r="G347" s="11" t="s">
        <v>24</v>
      </c>
      <c r="H347" s="1"/>
      <c r="I347" s="1"/>
      <c r="J347" s="1"/>
    </row>
    <row r="348" spans="1:10" x14ac:dyDescent="0.25">
      <c r="A348" s="8" t="s">
        <v>4433</v>
      </c>
      <c r="B348" s="8" t="s">
        <v>5049</v>
      </c>
      <c r="C348" s="31" t="s">
        <v>5050</v>
      </c>
      <c r="D348" s="8" t="s">
        <v>1877</v>
      </c>
      <c r="E348" s="8" t="s">
        <v>4468</v>
      </c>
      <c r="F348" s="11" t="s">
        <v>195</v>
      </c>
      <c r="G348" s="11" t="s">
        <v>24</v>
      </c>
      <c r="H348" s="1"/>
      <c r="I348" s="1"/>
      <c r="J348" s="1"/>
    </row>
    <row r="349" spans="1:10" x14ac:dyDescent="0.25">
      <c r="A349" s="8" t="s">
        <v>4433</v>
      </c>
      <c r="B349" s="8" t="s">
        <v>5051</v>
      </c>
      <c r="C349" s="31" t="s">
        <v>5052</v>
      </c>
      <c r="D349" s="8" t="s">
        <v>1881</v>
      </c>
      <c r="E349" s="8" t="s">
        <v>4442</v>
      </c>
      <c r="F349" s="11" t="s">
        <v>195</v>
      </c>
      <c r="G349" s="11" t="s">
        <v>24</v>
      </c>
      <c r="H349" s="1"/>
      <c r="I349" s="1"/>
      <c r="J349" s="1"/>
    </row>
    <row r="350" spans="1:10" x14ac:dyDescent="0.25">
      <c r="A350" s="8" t="s">
        <v>4433</v>
      </c>
      <c r="B350" s="8" t="s">
        <v>5053</v>
      </c>
      <c r="C350" s="31" t="s">
        <v>5054</v>
      </c>
      <c r="D350" s="8" t="s">
        <v>1877</v>
      </c>
      <c r="E350" s="8" t="s">
        <v>4442</v>
      </c>
      <c r="F350" s="11" t="s">
        <v>24</v>
      </c>
      <c r="G350" s="11" t="s">
        <v>24</v>
      </c>
      <c r="H350" s="1"/>
      <c r="I350" s="1"/>
      <c r="J350" s="1"/>
    </row>
    <row r="351" spans="1:10" x14ac:dyDescent="0.25">
      <c r="A351" s="8" t="s">
        <v>4433</v>
      </c>
      <c r="B351" s="8" t="s">
        <v>5055</v>
      </c>
      <c r="C351" s="31" t="s">
        <v>5056</v>
      </c>
      <c r="D351" s="8" t="s">
        <v>1877</v>
      </c>
      <c r="E351" s="8" t="s">
        <v>4450</v>
      </c>
      <c r="F351" s="11" t="s">
        <v>24</v>
      </c>
      <c r="G351" s="11" t="s">
        <v>24</v>
      </c>
      <c r="H351" s="1"/>
      <c r="I351" s="1"/>
      <c r="J351" s="1"/>
    </row>
    <row r="352" spans="1:10" x14ac:dyDescent="0.25">
      <c r="A352" s="8" t="s">
        <v>4433</v>
      </c>
      <c r="B352" s="8" t="s">
        <v>5057</v>
      </c>
      <c r="C352" s="31" t="s">
        <v>5058</v>
      </c>
      <c r="D352" s="8" t="s">
        <v>1877</v>
      </c>
      <c r="E352" s="8" t="s">
        <v>4490</v>
      </c>
      <c r="F352" s="11" t="s">
        <v>24</v>
      </c>
      <c r="G352" s="11" t="s">
        <v>24</v>
      </c>
      <c r="H352" s="1"/>
      <c r="I352" s="1"/>
      <c r="J352" s="1"/>
    </row>
    <row r="353" spans="1:10" x14ac:dyDescent="0.25">
      <c r="A353" s="8" t="s">
        <v>4433</v>
      </c>
      <c r="B353" s="8" t="s">
        <v>5059</v>
      </c>
      <c r="C353" s="31" t="s">
        <v>5060</v>
      </c>
      <c r="D353" s="8" t="s">
        <v>1877</v>
      </c>
      <c r="E353" s="8" t="s">
        <v>4450</v>
      </c>
      <c r="F353" s="11" t="s">
        <v>24</v>
      </c>
      <c r="G353" s="11" t="s">
        <v>24</v>
      </c>
      <c r="H353" s="1"/>
      <c r="I353" s="1"/>
      <c r="J353" s="1"/>
    </row>
    <row r="354" spans="1:10" x14ac:dyDescent="0.25">
      <c r="A354" s="8" t="s">
        <v>4433</v>
      </c>
      <c r="B354" s="8" t="s">
        <v>5061</v>
      </c>
      <c r="C354" s="31" t="s">
        <v>5062</v>
      </c>
      <c r="D354" s="8" t="s">
        <v>1877</v>
      </c>
      <c r="E354" s="8" t="s">
        <v>4499</v>
      </c>
      <c r="F354" s="11" t="s">
        <v>24</v>
      </c>
      <c r="G354" s="11" t="s">
        <v>24</v>
      </c>
      <c r="H354" s="1"/>
      <c r="I354" s="1"/>
      <c r="J354" s="1"/>
    </row>
    <row r="355" spans="1:10" x14ac:dyDescent="0.25">
      <c r="A355" s="8" t="s">
        <v>4433</v>
      </c>
      <c r="B355" s="8" t="s">
        <v>5063</v>
      </c>
      <c r="C355" s="31" t="s">
        <v>5064</v>
      </c>
      <c r="D355" s="8" t="s">
        <v>1877</v>
      </c>
      <c r="E355" s="8" t="s">
        <v>4436</v>
      </c>
      <c r="F355" s="11" t="s">
        <v>24</v>
      </c>
      <c r="G355" s="11" t="s">
        <v>24</v>
      </c>
      <c r="H355" s="1"/>
      <c r="I355" s="1"/>
      <c r="J355" s="1"/>
    </row>
    <row r="356" spans="1:10" x14ac:dyDescent="0.25">
      <c r="A356" s="8" t="s">
        <v>4433</v>
      </c>
      <c r="B356" s="8" t="s">
        <v>5065</v>
      </c>
      <c r="C356" s="31" t="s">
        <v>5066</v>
      </c>
      <c r="D356" s="8" t="s">
        <v>1877</v>
      </c>
      <c r="E356" s="8" t="s">
        <v>4499</v>
      </c>
      <c r="F356" s="11" t="s">
        <v>24</v>
      </c>
      <c r="G356" s="11" t="s">
        <v>24</v>
      </c>
      <c r="H356" s="1"/>
      <c r="I356" s="1"/>
      <c r="J356" s="1"/>
    </row>
    <row r="357" spans="1:10" x14ac:dyDescent="0.25">
      <c r="A357" s="8" t="s">
        <v>4433</v>
      </c>
      <c r="B357" s="8" t="s">
        <v>5067</v>
      </c>
      <c r="C357" s="31" t="s">
        <v>5068</v>
      </c>
      <c r="D357" s="8" t="s">
        <v>1877</v>
      </c>
      <c r="E357" s="8" t="s">
        <v>4442</v>
      </c>
      <c r="F357" s="11" t="s">
        <v>24</v>
      </c>
      <c r="G357" s="11" t="s">
        <v>24</v>
      </c>
      <c r="H357" s="1"/>
      <c r="I357" s="1"/>
      <c r="J357" s="1"/>
    </row>
    <row r="358" spans="1:10" x14ac:dyDescent="0.25">
      <c r="A358" s="8" t="s">
        <v>4433</v>
      </c>
      <c r="B358" s="8" t="s">
        <v>5069</v>
      </c>
      <c r="C358" s="31" t="s">
        <v>2833</v>
      </c>
      <c r="D358" s="8" t="s">
        <v>1877</v>
      </c>
      <c r="E358" s="8" t="s">
        <v>4442</v>
      </c>
      <c r="F358" s="11" t="s">
        <v>195</v>
      </c>
      <c r="G358" s="11" t="s">
        <v>24</v>
      </c>
      <c r="H358" s="1"/>
      <c r="I358" s="1"/>
      <c r="J358" s="1"/>
    </row>
    <row r="359" spans="1:10" x14ac:dyDescent="0.25">
      <c r="A359" s="8" t="s">
        <v>4433</v>
      </c>
      <c r="B359" s="8" t="s">
        <v>5070</v>
      </c>
      <c r="C359" s="31" t="s">
        <v>5071</v>
      </c>
      <c r="D359" s="8" t="s">
        <v>1877</v>
      </c>
      <c r="E359" s="8" t="s">
        <v>4445</v>
      </c>
      <c r="F359" s="11" t="s">
        <v>24</v>
      </c>
      <c r="G359" s="11" t="s">
        <v>24</v>
      </c>
      <c r="H359" s="1"/>
      <c r="I359" s="1"/>
      <c r="J359" s="1"/>
    </row>
    <row r="360" spans="1:10" x14ac:dyDescent="0.25">
      <c r="A360" s="8" t="s">
        <v>4433</v>
      </c>
      <c r="B360" s="8" t="s">
        <v>5072</v>
      </c>
      <c r="C360" s="31" t="s">
        <v>5073</v>
      </c>
      <c r="D360" s="8" t="s">
        <v>1877</v>
      </c>
      <c r="E360" s="8" t="s">
        <v>4439</v>
      </c>
      <c r="F360" s="11" t="s">
        <v>24</v>
      </c>
      <c r="G360" s="11" t="s">
        <v>24</v>
      </c>
      <c r="H360" s="1"/>
      <c r="I360" s="1"/>
      <c r="J360" s="1"/>
    </row>
    <row r="361" spans="1:10" x14ac:dyDescent="0.25">
      <c r="A361" s="8" t="s">
        <v>4433</v>
      </c>
      <c r="B361" s="8" t="s">
        <v>5074</v>
      </c>
      <c r="C361" s="31" t="s">
        <v>5075</v>
      </c>
      <c r="D361" s="8" t="s">
        <v>1877</v>
      </c>
      <c r="E361" s="8" t="s">
        <v>4442</v>
      </c>
      <c r="F361" s="11" t="s">
        <v>24</v>
      </c>
      <c r="G361" s="11" t="s">
        <v>24</v>
      </c>
      <c r="H361" s="1"/>
      <c r="I361" s="1"/>
      <c r="J361" s="1"/>
    </row>
    <row r="362" spans="1:10" x14ac:dyDescent="0.25">
      <c r="A362" s="8" t="s">
        <v>4433</v>
      </c>
      <c r="B362" s="8" t="s">
        <v>5076</v>
      </c>
      <c r="C362" s="31" t="s">
        <v>5077</v>
      </c>
      <c r="D362" s="8" t="s">
        <v>1877</v>
      </c>
      <c r="E362" s="8" t="s">
        <v>4436</v>
      </c>
      <c r="F362" s="11" t="s">
        <v>24</v>
      </c>
      <c r="G362" s="11" t="s">
        <v>24</v>
      </c>
      <c r="H362" s="1"/>
      <c r="I362" s="1"/>
      <c r="J362" s="1"/>
    </row>
    <row r="363" spans="1:10" x14ac:dyDescent="0.25">
      <c r="A363" s="8" t="s">
        <v>4433</v>
      </c>
      <c r="B363" s="8" t="s">
        <v>5078</v>
      </c>
      <c r="C363" s="31" t="s">
        <v>5079</v>
      </c>
      <c r="D363" s="8" t="s">
        <v>1877</v>
      </c>
      <c r="E363" s="8" t="s">
        <v>4499</v>
      </c>
      <c r="F363" s="11" t="s">
        <v>24</v>
      </c>
      <c r="G363" s="11" t="s">
        <v>24</v>
      </c>
      <c r="H363" s="1"/>
      <c r="I363" s="1"/>
      <c r="J363" s="1"/>
    </row>
    <row r="364" spans="1:10" x14ac:dyDescent="0.25">
      <c r="A364" s="8" t="s">
        <v>4433</v>
      </c>
      <c r="B364" s="8" t="s">
        <v>5080</v>
      </c>
      <c r="C364" s="31" t="s">
        <v>5081</v>
      </c>
      <c r="D364" s="8" t="s">
        <v>1877</v>
      </c>
      <c r="E364" s="8" t="s">
        <v>4499</v>
      </c>
      <c r="F364" s="11" t="s">
        <v>24</v>
      </c>
      <c r="G364" s="11" t="s">
        <v>24</v>
      </c>
      <c r="H364" s="1"/>
      <c r="I364" s="1"/>
      <c r="J364" s="1"/>
    </row>
    <row r="365" spans="1:10" x14ac:dyDescent="0.25">
      <c r="A365" s="8" t="s">
        <v>4433</v>
      </c>
      <c r="B365" s="8" t="s">
        <v>5082</v>
      </c>
      <c r="C365" s="31" t="s">
        <v>5083</v>
      </c>
      <c r="D365" s="8" t="s">
        <v>1877</v>
      </c>
      <c r="E365" s="8" t="s">
        <v>4473</v>
      </c>
      <c r="F365" s="11" t="s">
        <v>24</v>
      </c>
      <c r="G365" s="11" t="s">
        <v>24</v>
      </c>
      <c r="H365" s="1"/>
      <c r="I365" s="1"/>
      <c r="J365" s="1"/>
    </row>
    <row r="366" spans="1:10" x14ac:dyDescent="0.25">
      <c r="A366" s="8" t="s">
        <v>4433</v>
      </c>
      <c r="B366" s="8" t="s">
        <v>5084</v>
      </c>
      <c r="C366" s="31" t="s">
        <v>5085</v>
      </c>
      <c r="D366" s="8" t="s">
        <v>1877</v>
      </c>
      <c r="E366" s="8" t="s">
        <v>4439</v>
      </c>
      <c r="F366" s="11" t="s">
        <v>24</v>
      </c>
      <c r="G366" s="11" t="s">
        <v>24</v>
      </c>
      <c r="H366" s="1"/>
      <c r="I366" s="1"/>
      <c r="J366" s="1"/>
    </row>
    <row r="367" spans="1:10" x14ac:dyDescent="0.25">
      <c r="A367" s="8" t="s">
        <v>4433</v>
      </c>
      <c r="B367" s="8" t="s">
        <v>5086</v>
      </c>
      <c r="C367" s="31" t="s">
        <v>5087</v>
      </c>
      <c r="D367" s="8" t="s">
        <v>1881</v>
      </c>
      <c r="E367" s="8" t="s">
        <v>4768</v>
      </c>
      <c r="F367" s="11" t="s">
        <v>24</v>
      </c>
      <c r="G367" s="11" t="s">
        <v>24</v>
      </c>
      <c r="H367" s="1"/>
      <c r="I367" s="1"/>
      <c r="J367" s="1"/>
    </row>
    <row r="368" spans="1:10" x14ac:dyDescent="0.25">
      <c r="A368" s="8" t="s">
        <v>4433</v>
      </c>
      <c r="B368" s="8" t="s">
        <v>5088</v>
      </c>
      <c r="C368" s="31" t="s">
        <v>5089</v>
      </c>
      <c r="D368" s="8" t="s">
        <v>1877</v>
      </c>
      <c r="E368" s="8" t="s">
        <v>4442</v>
      </c>
      <c r="F368" s="11" t="s">
        <v>24</v>
      </c>
      <c r="G368" s="11" t="s">
        <v>24</v>
      </c>
      <c r="H368" s="1"/>
      <c r="I368" s="1"/>
      <c r="J368" s="1"/>
    </row>
    <row r="369" spans="1:10" x14ac:dyDescent="0.25">
      <c r="A369" s="8" t="s">
        <v>4433</v>
      </c>
      <c r="B369" s="8" t="s">
        <v>5090</v>
      </c>
      <c r="C369" s="31" t="s">
        <v>5091</v>
      </c>
      <c r="D369" s="8" t="s">
        <v>1877</v>
      </c>
      <c r="E369" s="8" t="s">
        <v>4473</v>
      </c>
      <c r="F369" s="11" t="s">
        <v>24</v>
      </c>
      <c r="G369" s="11" t="s">
        <v>24</v>
      </c>
      <c r="H369" s="1"/>
      <c r="I369" s="1"/>
      <c r="J369" s="1"/>
    </row>
    <row r="370" spans="1:10" x14ac:dyDescent="0.25">
      <c r="A370" s="8" t="s">
        <v>4433</v>
      </c>
      <c r="B370" s="8" t="s">
        <v>5092</v>
      </c>
      <c r="C370" s="31" t="s">
        <v>5093</v>
      </c>
      <c r="D370" s="8" t="s">
        <v>1877</v>
      </c>
      <c r="E370" s="8" t="s">
        <v>4439</v>
      </c>
      <c r="F370" s="11" t="s">
        <v>24</v>
      </c>
      <c r="G370" s="11" t="s">
        <v>24</v>
      </c>
      <c r="H370" s="1"/>
      <c r="I370" s="1"/>
      <c r="J370" s="1"/>
    </row>
    <row r="371" spans="1:10" x14ac:dyDescent="0.25">
      <c r="A371" s="8" t="s">
        <v>4433</v>
      </c>
      <c r="B371" s="8" t="s">
        <v>5094</v>
      </c>
      <c r="C371" s="31" t="s">
        <v>5095</v>
      </c>
      <c r="D371" s="8" t="s">
        <v>1877</v>
      </c>
      <c r="E371" s="8" t="s">
        <v>4463</v>
      </c>
      <c r="F371" s="11" t="s">
        <v>24</v>
      </c>
      <c r="G371" s="11" t="s">
        <v>24</v>
      </c>
      <c r="H371" s="1"/>
      <c r="I371" s="1"/>
      <c r="J371" s="1"/>
    </row>
    <row r="372" spans="1:10" x14ac:dyDescent="0.25">
      <c r="A372" s="8" t="s">
        <v>4433</v>
      </c>
      <c r="B372" s="8" t="s">
        <v>5096</v>
      </c>
      <c r="C372" s="31">
        <v>27</v>
      </c>
      <c r="D372" s="8" t="s">
        <v>1877</v>
      </c>
      <c r="E372" s="8" t="s">
        <v>4501</v>
      </c>
      <c r="F372" s="11" t="s">
        <v>24</v>
      </c>
      <c r="G372" s="11" t="s">
        <v>24</v>
      </c>
      <c r="H372" s="1"/>
      <c r="I372" s="1"/>
      <c r="J372" s="1"/>
    </row>
    <row r="373" spans="1:10" x14ac:dyDescent="0.25">
      <c r="A373" s="8" t="s">
        <v>4433</v>
      </c>
      <c r="B373" s="8" t="s">
        <v>5097</v>
      </c>
      <c r="C373" s="31" t="s">
        <v>5098</v>
      </c>
      <c r="D373" s="8" t="s">
        <v>1877</v>
      </c>
      <c r="E373" s="8" t="s">
        <v>4442</v>
      </c>
      <c r="F373" s="11" t="s">
        <v>195</v>
      </c>
      <c r="G373" s="11" t="s">
        <v>24</v>
      </c>
      <c r="H373" s="1"/>
      <c r="I373" s="1"/>
      <c r="J373" s="1"/>
    </row>
    <row r="374" spans="1:10" x14ac:dyDescent="0.25">
      <c r="A374" s="8" t="s">
        <v>4433</v>
      </c>
      <c r="B374" s="8" t="s">
        <v>5099</v>
      </c>
      <c r="C374" s="31" t="s">
        <v>5100</v>
      </c>
      <c r="D374" s="8" t="s">
        <v>1877</v>
      </c>
      <c r="E374" s="8" t="s">
        <v>4436</v>
      </c>
      <c r="F374" s="11" t="s">
        <v>195</v>
      </c>
      <c r="G374" s="11" t="s">
        <v>24</v>
      </c>
      <c r="H374" s="1"/>
      <c r="I374" s="1"/>
      <c r="J374" s="1"/>
    </row>
    <row r="375" spans="1:10" x14ac:dyDescent="0.25">
      <c r="A375" s="8" t="s">
        <v>4433</v>
      </c>
      <c r="B375" s="8" t="s">
        <v>5101</v>
      </c>
      <c r="C375" s="31" t="s">
        <v>5102</v>
      </c>
      <c r="D375" s="8" t="s">
        <v>1877</v>
      </c>
      <c r="E375" s="8" t="s">
        <v>4540</v>
      </c>
      <c r="F375" s="11" t="s">
        <v>24</v>
      </c>
      <c r="G375" s="11" t="s">
        <v>24</v>
      </c>
      <c r="H375" s="1"/>
      <c r="I375" s="1"/>
      <c r="J375" s="1"/>
    </row>
    <row r="376" spans="1:10" x14ac:dyDescent="0.25">
      <c r="A376" s="8" t="s">
        <v>4433</v>
      </c>
      <c r="B376" s="8" t="s">
        <v>5103</v>
      </c>
      <c r="C376" s="31" t="s">
        <v>5104</v>
      </c>
      <c r="D376" s="8" t="s">
        <v>1877</v>
      </c>
      <c r="E376" s="8" t="s">
        <v>4442</v>
      </c>
      <c r="F376" s="11" t="s">
        <v>195</v>
      </c>
      <c r="G376" s="11" t="s">
        <v>24</v>
      </c>
      <c r="H376" s="1"/>
      <c r="I376" s="1"/>
      <c r="J376" s="1"/>
    </row>
    <row r="377" spans="1:10" x14ac:dyDescent="0.25">
      <c r="A377" s="8" t="s">
        <v>4433</v>
      </c>
      <c r="B377" s="8" t="s">
        <v>5105</v>
      </c>
      <c r="C377" s="31" t="s">
        <v>5106</v>
      </c>
      <c r="D377" s="8" t="s">
        <v>1877</v>
      </c>
      <c r="E377" s="8" t="s">
        <v>4442</v>
      </c>
      <c r="F377" s="11" t="s">
        <v>195</v>
      </c>
      <c r="G377" s="11" t="s">
        <v>24</v>
      </c>
      <c r="H377" s="1"/>
      <c r="I377" s="1"/>
      <c r="J377" s="1"/>
    </row>
    <row r="378" spans="1:10" x14ac:dyDescent="0.25">
      <c r="A378" s="8" t="s">
        <v>4433</v>
      </c>
      <c r="B378" s="8" t="s">
        <v>5107</v>
      </c>
      <c r="C378" s="31" t="s">
        <v>5108</v>
      </c>
      <c r="D378" s="8" t="s">
        <v>1877</v>
      </c>
      <c r="E378" s="8" t="s">
        <v>4436</v>
      </c>
      <c r="F378" s="11" t="s">
        <v>195</v>
      </c>
      <c r="G378" s="11" t="s">
        <v>24</v>
      </c>
      <c r="H378" s="1"/>
      <c r="I378" s="1"/>
      <c r="J378" s="1"/>
    </row>
    <row r="379" spans="1:10" x14ac:dyDescent="0.25">
      <c r="A379" s="8" t="s">
        <v>4433</v>
      </c>
      <c r="B379" s="8" t="s">
        <v>5109</v>
      </c>
      <c r="C379" s="31" t="s">
        <v>5110</v>
      </c>
      <c r="D379" s="8" t="s">
        <v>1877</v>
      </c>
      <c r="E379" s="8" t="s">
        <v>4442</v>
      </c>
      <c r="F379" s="11" t="s">
        <v>24</v>
      </c>
      <c r="G379" s="11" t="s">
        <v>24</v>
      </c>
      <c r="H379" s="1"/>
      <c r="I379" s="1"/>
      <c r="J379" s="1"/>
    </row>
    <row r="380" spans="1:10" x14ac:dyDescent="0.25">
      <c r="A380" s="8" t="s">
        <v>4433</v>
      </c>
      <c r="B380" s="8" t="s">
        <v>5111</v>
      </c>
      <c r="C380" s="31" t="s">
        <v>5112</v>
      </c>
      <c r="D380" s="8" t="s">
        <v>1877</v>
      </c>
      <c r="E380" s="8" t="s">
        <v>4453</v>
      </c>
      <c r="F380" s="11" t="s">
        <v>24</v>
      </c>
      <c r="G380" s="11" t="s">
        <v>24</v>
      </c>
      <c r="H380" s="1"/>
      <c r="I380" s="1"/>
      <c r="J380" s="1"/>
    </row>
    <row r="381" spans="1:10" x14ac:dyDescent="0.25">
      <c r="A381" s="8" t="s">
        <v>4433</v>
      </c>
      <c r="B381" s="8" t="s">
        <v>5113</v>
      </c>
      <c r="C381" s="31">
        <v>175</v>
      </c>
      <c r="D381" s="8" t="s">
        <v>1877</v>
      </c>
      <c r="E381" s="8" t="s">
        <v>4501</v>
      </c>
      <c r="F381" s="11" t="s">
        <v>24</v>
      </c>
      <c r="G381" s="11" t="s">
        <v>24</v>
      </c>
      <c r="H381" s="1"/>
      <c r="I381" s="1"/>
      <c r="J381" s="1"/>
    </row>
    <row r="382" spans="1:10" x14ac:dyDescent="0.25">
      <c r="A382" s="8" t="s">
        <v>4433</v>
      </c>
      <c r="B382" s="8" t="s">
        <v>5114</v>
      </c>
      <c r="C382" s="31" t="s">
        <v>5115</v>
      </c>
      <c r="D382" s="8" t="s">
        <v>1877</v>
      </c>
      <c r="E382" s="8" t="s">
        <v>4442</v>
      </c>
      <c r="F382" s="11" t="s">
        <v>24</v>
      </c>
      <c r="G382" s="11" t="s">
        <v>24</v>
      </c>
      <c r="H382" s="1"/>
      <c r="I382" s="1"/>
      <c r="J382" s="1"/>
    </row>
    <row r="383" spans="1:10" x14ac:dyDescent="0.25">
      <c r="A383" s="8" t="s">
        <v>4433</v>
      </c>
      <c r="B383" s="8" t="s">
        <v>5116</v>
      </c>
      <c r="C383" s="31" t="s">
        <v>5117</v>
      </c>
      <c r="D383" s="8" t="s">
        <v>1877</v>
      </c>
      <c r="E383" s="8" t="s">
        <v>4442</v>
      </c>
      <c r="F383" s="11" t="s">
        <v>24</v>
      </c>
      <c r="G383" s="11" t="s">
        <v>24</v>
      </c>
      <c r="H383" s="1"/>
      <c r="I383" s="1"/>
      <c r="J383" s="1"/>
    </row>
    <row r="384" spans="1:10" x14ac:dyDescent="0.25">
      <c r="A384" s="8" t="s">
        <v>4433</v>
      </c>
      <c r="B384" s="8" t="s">
        <v>5118</v>
      </c>
      <c r="C384" s="31" t="s">
        <v>5119</v>
      </c>
      <c r="D384" s="8" t="s">
        <v>1877</v>
      </c>
      <c r="E384" s="8" t="s">
        <v>4450</v>
      </c>
      <c r="F384" s="11" t="s">
        <v>24</v>
      </c>
      <c r="G384" s="11" t="s">
        <v>24</v>
      </c>
      <c r="H384" s="1"/>
      <c r="I384" s="1"/>
      <c r="J384" s="1"/>
    </row>
    <row r="385" spans="1:10" x14ac:dyDescent="0.25">
      <c r="A385" s="8" t="s">
        <v>4433</v>
      </c>
      <c r="B385" s="8" t="s">
        <v>5120</v>
      </c>
      <c r="C385" s="31" t="s">
        <v>5121</v>
      </c>
      <c r="D385" s="8" t="s">
        <v>1877</v>
      </c>
      <c r="E385" s="8" t="s">
        <v>4445</v>
      </c>
      <c r="F385" s="11" t="s">
        <v>24</v>
      </c>
      <c r="G385" s="11" t="s">
        <v>24</v>
      </c>
      <c r="H385" s="1"/>
      <c r="I385" s="1"/>
      <c r="J385" s="1"/>
    </row>
    <row r="386" spans="1:10" x14ac:dyDescent="0.25">
      <c r="A386" s="8" t="s">
        <v>4433</v>
      </c>
      <c r="B386" s="8" t="s">
        <v>5122</v>
      </c>
      <c r="C386" s="31" t="s">
        <v>5123</v>
      </c>
      <c r="D386" s="8" t="s">
        <v>1877</v>
      </c>
      <c r="E386" s="8" t="s">
        <v>4768</v>
      </c>
      <c r="F386" s="11" t="s">
        <v>24</v>
      </c>
      <c r="G386" s="11" t="s">
        <v>24</v>
      </c>
      <c r="H386" s="1"/>
      <c r="I386" s="1"/>
      <c r="J386" s="1"/>
    </row>
    <row r="387" spans="1:10" x14ac:dyDescent="0.25">
      <c r="A387" s="8" t="s">
        <v>4433</v>
      </c>
      <c r="B387" s="8" t="s">
        <v>5124</v>
      </c>
      <c r="C387" s="31" t="s">
        <v>5125</v>
      </c>
      <c r="D387" s="8" t="s">
        <v>1877</v>
      </c>
      <c r="E387" s="8" t="s">
        <v>4499</v>
      </c>
      <c r="F387" s="11" t="s">
        <v>24</v>
      </c>
      <c r="G387" s="11" t="s">
        <v>24</v>
      </c>
      <c r="H387" s="1"/>
      <c r="I387" s="1"/>
      <c r="J387" s="1"/>
    </row>
    <row r="388" spans="1:10" x14ac:dyDescent="0.25">
      <c r="A388" s="8" t="s">
        <v>4433</v>
      </c>
      <c r="B388" s="8" t="s">
        <v>5126</v>
      </c>
      <c r="C388" s="31" t="s">
        <v>5127</v>
      </c>
      <c r="D388" s="8" t="s">
        <v>1877</v>
      </c>
      <c r="E388" s="8" t="s">
        <v>4454</v>
      </c>
      <c r="F388" s="11" t="s">
        <v>24</v>
      </c>
      <c r="G388" s="11" t="s">
        <v>24</v>
      </c>
      <c r="H388" s="1"/>
      <c r="I388" s="1"/>
      <c r="J388" s="1"/>
    </row>
    <row r="389" spans="1:10" x14ac:dyDescent="0.25">
      <c r="A389" s="8" t="s">
        <v>4433</v>
      </c>
      <c r="B389" s="8" t="s">
        <v>5128</v>
      </c>
      <c r="C389" s="31" t="s">
        <v>5129</v>
      </c>
      <c r="D389" s="8" t="s">
        <v>1877</v>
      </c>
      <c r="E389" s="8" t="s">
        <v>4499</v>
      </c>
      <c r="F389" s="11" t="s">
        <v>195</v>
      </c>
      <c r="G389" s="11" t="s">
        <v>24</v>
      </c>
      <c r="H389" s="1"/>
      <c r="I389" s="1"/>
      <c r="J389" s="1"/>
    </row>
    <row r="390" spans="1:10" x14ac:dyDescent="0.25">
      <c r="A390" s="8" t="s">
        <v>4433</v>
      </c>
      <c r="B390" s="8" t="s">
        <v>5130</v>
      </c>
      <c r="C390" s="31" t="s">
        <v>5131</v>
      </c>
      <c r="D390" s="8" t="s">
        <v>1877</v>
      </c>
      <c r="E390" s="8" t="s">
        <v>4499</v>
      </c>
      <c r="F390" s="11" t="s">
        <v>24</v>
      </c>
      <c r="G390" s="11" t="s">
        <v>24</v>
      </c>
      <c r="H390" s="1"/>
      <c r="I390" s="1"/>
      <c r="J390" s="1"/>
    </row>
    <row r="391" spans="1:10" x14ac:dyDescent="0.25">
      <c r="A391" s="8" t="s">
        <v>4433</v>
      </c>
      <c r="B391" s="8" t="s">
        <v>5132</v>
      </c>
      <c r="C391" s="31" t="s">
        <v>5133</v>
      </c>
      <c r="D391" s="8" t="s">
        <v>1877</v>
      </c>
      <c r="E391" s="8" t="s">
        <v>4436</v>
      </c>
      <c r="F391" s="11" t="s">
        <v>24</v>
      </c>
      <c r="G391" s="11" t="s">
        <v>24</v>
      </c>
      <c r="H391" s="1"/>
      <c r="I391" s="1"/>
      <c r="J391" s="1"/>
    </row>
    <row r="392" spans="1:10" x14ac:dyDescent="0.25">
      <c r="A392" s="8" t="s">
        <v>4433</v>
      </c>
      <c r="B392" s="8" t="s">
        <v>5134</v>
      </c>
      <c r="C392" s="31" t="s">
        <v>5135</v>
      </c>
      <c r="D392" s="8" t="s">
        <v>1877</v>
      </c>
      <c r="E392" s="8" t="s">
        <v>4442</v>
      </c>
      <c r="F392" s="11" t="s">
        <v>195</v>
      </c>
      <c r="G392" s="11" t="s">
        <v>24</v>
      </c>
      <c r="H392" s="1"/>
      <c r="I392" s="1"/>
      <c r="J392" s="1"/>
    </row>
    <row r="393" spans="1:10" x14ac:dyDescent="0.25">
      <c r="A393" s="8" t="s">
        <v>4433</v>
      </c>
      <c r="B393" s="8" t="s">
        <v>5136</v>
      </c>
      <c r="C393" s="31" t="s">
        <v>5137</v>
      </c>
      <c r="D393" s="8" t="s">
        <v>1877</v>
      </c>
      <c r="E393" s="8" t="s">
        <v>4453</v>
      </c>
      <c r="F393" s="11" t="s">
        <v>24</v>
      </c>
      <c r="G393" s="11" t="s">
        <v>24</v>
      </c>
      <c r="H393" s="1"/>
      <c r="I393" s="1"/>
      <c r="J393" s="1"/>
    </row>
    <row r="394" spans="1:10" x14ac:dyDescent="0.25">
      <c r="A394" s="8" t="s">
        <v>4433</v>
      </c>
      <c r="B394" s="8" t="s">
        <v>5138</v>
      </c>
      <c r="C394" s="31" t="s">
        <v>5139</v>
      </c>
      <c r="D394" s="8" t="s">
        <v>1877</v>
      </c>
      <c r="E394" s="8" t="s">
        <v>4439</v>
      </c>
      <c r="F394" s="11" t="s">
        <v>24</v>
      </c>
      <c r="G394" s="11" t="s">
        <v>24</v>
      </c>
      <c r="H394" s="1"/>
      <c r="I394" s="1"/>
      <c r="J394" s="1"/>
    </row>
    <row r="395" spans="1:10" x14ac:dyDescent="0.25">
      <c r="A395" s="8" t="s">
        <v>4433</v>
      </c>
      <c r="B395" s="8" t="s">
        <v>5140</v>
      </c>
      <c r="C395" s="31" t="s">
        <v>5141</v>
      </c>
      <c r="D395" s="8" t="s">
        <v>1917</v>
      </c>
      <c r="E395" s="8" t="s">
        <v>4439</v>
      </c>
      <c r="F395" s="11" t="s">
        <v>195</v>
      </c>
      <c r="G395" s="11" t="s">
        <v>24</v>
      </c>
      <c r="H395" s="1"/>
      <c r="I395" s="1"/>
      <c r="J395" s="1"/>
    </row>
    <row r="396" spans="1:10" x14ac:dyDescent="0.25">
      <c r="A396" s="8" t="s">
        <v>4433</v>
      </c>
      <c r="B396" s="8" t="s">
        <v>5142</v>
      </c>
      <c r="C396" s="31" t="s">
        <v>5143</v>
      </c>
      <c r="D396" s="8" t="s">
        <v>1877</v>
      </c>
      <c r="E396" s="8" t="s">
        <v>4436</v>
      </c>
      <c r="F396" s="11" t="s">
        <v>24</v>
      </c>
      <c r="G396" s="11" t="s">
        <v>24</v>
      </c>
      <c r="H396" s="1"/>
      <c r="I396" s="1"/>
      <c r="J396" s="1"/>
    </row>
    <row r="397" spans="1:10" x14ac:dyDescent="0.25">
      <c r="A397" s="8" t="s">
        <v>4433</v>
      </c>
      <c r="B397" s="8" t="s">
        <v>5144</v>
      </c>
      <c r="C397" s="31" t="s">
        <v>5145</v>
      </c>
      <c r="D397" s="8" t="s">
        <v>1877</v>
      </c>
      <c r="E397" s="8" t="s">
        <v>4445</v>
      </c>
      <c r="F397" s="11" t="s">
        <v>24</v>
      </c>
      <c r="G397" s="11" t="s">
        <v>24</v>
      </c>
      <c r="H397" s="1"/>
      <c r="I397" s="1"/>
      <c r="J397" s="1"/>
    </row>
    <row r="398" spans="1:10" x14ac:dyDescent="0.25">
      <c r="A398" s="8" t="s">
        <v>4433</v>
      </c>
      <c r="B398" s="8" t="s">
        <v>5146</v>
      </c>
      <c r="C398" s="31" t="s">
        <v>5147</v>
      </c>
      <c r="D398" s="8" t="s">
        <v>1877</v>
      </c>
      <c r="E398" s="8" t="s">
        <v>4442</v>
      </c>
      <c r="F398" s="11" t="s">
        <v>195</v>
      </c>
      <c r="G398" s="11" t="s">
        <v>24</v>
      </c>
      <c r="H398" s="1"/>
      <c r="I398" s="1"/>
      <c r="J398" s="1"/>
    </row>
    <row r="399" spans="1:10" x14ac:dyDescent="0.25">
      <c r="A399" s="8" t="s">
        <v>4433</v>
      </c>
      <c r="B399" s="8" t="s">
        <v>5148</v>
      </c>
      <c r="C399" s="31" t="s">
        <v>5149</v>
      </c>
      <c r="D399" s="8" t="s">
        <v>1877</v>
      </c>
      <c r="E399" s="8" t="s">
        <v>4442</v>
      </c>
      <c r="F399" s="11" t="s">
        <v>24</v>
      </c>
      <c r="G399" s="11" t="s">
        <v>24</v>
      </c>
      <c r="H399" s="1"/>
      <c r="I399" s="1"/>
      <c r="J399" s="1"/>
    </row>
    <row r="400" spans="1:10" x14ac:dyDescent="0.25">
      <c r="A400" s="8" t="s">
        <v>4433</v>
      </c>
      <c r="B400" s="8" t="s">
        <v>5150</v>
      </c>
      <c r="C400" s="31" t="s">
        <v>5151</v>
      </c>
      <c r="D400" s="8" t="s">
        <v>1877</v>
      </c>
      <c r="E400" s="8" t="s">
        <v>4442</v>
      </c>
      <c r="F400" s="11" t="s">
        <v>195</v>
      </c>
      <c r="G400" s="11" t="s">
        <v>24</v>
      </c>
      <c r="H400" s="1"/>
      <c r="I400" s="1"/>
      <c r="J400" s="1"/>
    </row>
    <row r="401" spans="1:10" x14ac:dyDescent="0.25">
      <c r="A401" s="8" t="s">
        <v>4433</v>
      </c>
      <c r="B401" s="8" t="s">
        <v>5150</v>
      </c>
      <c r="C401" s="31" t="s">
        <v>2942</v>
      </c>
      <c r="D401" s="8" t="s">
        <v>1877</v>
      </c>
      <c r="E401" s="8" t="s">
        <v>4499</v>
      </c>
      <c r="F401" s="11" t="s">
        <v>195</v>
      </c>
      <c r="G401" s="11" t="s">
        <v>24</v>
      </c>
      <c r="H401" s="1"/>
      <c r="I401" s="1"/>
      <c r="J401" s="1"/>
    </row>
    <row r="402" spans="1:10" x14ac:dyDescent="0.25">
      <c r="A402" s="8" t="s">
        <v>4433</v>
      </c>
      <c r="B402" s="8" t="s">
        <v>5152</v>
      </c>
      <c r="C402" s="31" t="s">
        <v>5153</v>
      </c>
      <c r="D402" s="8" t="s">
        <v>1917</v>
      </c>
      <c r="E402" s="8" t="s">
        <v>4442</v>
      </c>
      <c r="F402" s="11" t="s">
        <v>195</v>
      </c>
      <c r="G402" s="11" t="s">
        <v>24</v>
      </c>
      <c r="H402" s="1"/>
      <c r="I402" s="1"/>
      <c r="J402" s="1"/>
    </row>
    <row r="403" spans="1:10" x14ac:dyDescent="0.25">
      <c r="A403" s="8" t="s">
        <v>4433</v>
      </c>
      <c r="B403" s="8" t="s">
        <v>5154</v>
      </c>
      <c r="C403" s="31" t="s">
        <v>5155</v>
      </c>
      <c r="D403" s="8" t="s">
        <v>1917</v>
      </c>
      <c r="E403" s="8" t="s">
        <v>4442</v>
      </c>
      <c r="F403" s="11" t="s">
        <v>195</v>
      </c>
      <c r="G403" s="11" t="s">
        <v>24</v>
      </c>
      <c r="H403" s="1"/>
      <c r="I403" s="1"/>
      <c r="J403" s="1"/>
    </row>
    <row r="404" spans="1:10" x14ac:dyDescent="0.25">
      <c r="A404" s="8" t="s">
        <v>4433</v>
      </c>
      <c r="B404" s="8" t="s">
        <v>5156</v>
      </c>
      <c r="C404" s="31" t="s">
        <v>5157</v>
      </c>
      <c r="D404" s="8" t="s">
        <v>1877</v>
      </c>
      <c r="E404" s="8" t="s">
        <v>4471</v>
      </c>
      <c r="F404" s="11" t="s">
        <v>24</v>
      </c>
      <c r="G404" s="11" t="s">
        <v>24</v>
      </c>
      <c r="H404" s="1"/>
      <c r="I404" s="1"/>
      <c r="J404" s="1"/>
    </row>
    <row r="405" spans="1:10" x14ac:dyDescent="0.25">
      <c r="A405" s="8" t="s">
        <v>4433</v>
      </c>
      <c r="B405" s="8" t="s">
        <v>5158</v>
      </c>
      <c r="C405" s="31" t="s">
        <v>5159</v>
      </c>
      <c r="D405" s="8" t="s">
        <v>1877</v>
      </c>
      <c r="E405" s="8" t="s">
        <v>4439</v>
      </c>
      <c r="F405" s="11" t="s">
        <v>24</v>
      </c>
      <c r="G405" s="11" t="s">
        <v>24</v>
      </c>
      <c r="H405" s="1"/>
      <c r="I405" s="1"/>
      <c r="J405" s="1"/>
    </row>
    <row r="406" spans="1:10" x14ac:dyDescent="0.25">
      <c r="A406" s="8" t="s">
        <v>4433</v>
      </c>
      <c r="B406" s="8" t="s">
        <v>5160</v>
      </c>
      <c r="C406" s="31">
        <v>6862</v>
      </c>
      <c r="D406" s="8" t="s">
        <v>1877</v>
      </c>
      <c r="E406" s="8" t="s">
        <v>4501</v>
      </c>
      <c r="F406" s="11" t="s">
        <v>24</v>
      </c>
      <c r="G406" s="11" t="s">
        <v>24</v>
      </c>
      <c r="H406" s="1"/>
      <c r="I406" s="1"/>
      <c r="J406" s="1"/>
    </row>
    <row r="407" spans="1:10" x14ac:dyDescent="0.25">
      <c r="A407" s="8" t="s">
        <v>4433</v>
      </c>
      <c r="B407" s="8" t="s">
        <v>5161</v>
      </c>
      <c r="C407" s="31">
        <v>6690</v>
      </c>
      <c r="D407" s="8" t="s">
        <v>1877</v>
      </c>
      <c r="E407" s="8" t="s">
        <v>4501</v>
      </c>
      <c r="F407" s="11" t="s">
        <v>24</v>
      </c>
      <c r="G407" s="11" t="s">
        <v>24</v>
      </c>
      <c r="H407" s="1"/>
      <c r="I407" s="1"/>
      <c r="J407" s="1"/>
    </row>
    <row r="408" spans="1:10" x14ac:dyDescent="0.25">
      <c r="A408" s="8" t="s">
        <v>4433</v>
      </c>
      <c r="B408" s="8" t="s">
        <v>5162</v>
      </c>
      <c r="C408" s="31" t="s">
        <v>5163</v>
      </c>
      <c r="D408" s="8" t="s">
        <v>1877</v>
      </c>
      <c r="E408" s="8" t="s">
        <v>4439</v>
      </c>
      <c r="F408" s="11" t="s">
        <v>24</v>
      </c>
      <c r="G408" s="11" t="s">
        <v>24</v>
      </c>
      <c r="H408" s="1"/>
      <c r="I408" s="1"/>
      <c r="J408" s="1"/>
    </row>
    <row r="409" spans="1:10" x14ac:dyDescent="0.25">
      <c r="A409" s="8" t="s">
        <v>4433</v>
      </c>
      <c r="B409" s="8" t="s">
        <v>5164</v>
      </c>
      <c r="C409" s="31" t="s">
        <v>5165</v>
      </c>
      <c r="D409" s="8" t="s">
        <v>1877</v>
      </c>
      <c r="E409" s="8" t="s">
        <v>4442</v>
      </c>
      <c r="F409" s="11" t="s">
        <v>24</v>
      </c>
      <c r="G409" s="11" t="s">
        <v>24</v>
      </c>
      <c r="H409" s="1"/>
      <c r="I409" s="1"/>
      <c r="J409" s="1"/>
    </row>
    <row r="410" spans="1:10" x14ac:dyDescent="0.25">
      <c r="A410" s="8" t="s">
        <v>4433</v>
      </c>
      <c r="B410" s="8" t="s">
        <v>5166</v>
      </c>
      <c r="C410" s="31" t="s">
        <v>5167</v>
      </c>
      <c r="D410" s="8" t="s">
        <v>1877</v>
      </c>
      <c r="E410" s="8" t="s">
        <v>4439</v>
      </c>
      <c r="F410" s="11" t="s">
        <v>24</v>
      </c>
      <c r="G410" s="11" t="s">
        <v>24</v>
      </c>
      <c r="H410" s="1"/>
      <c r="I410" s="1"/>
      <c r="J410" s="1"/>
    </row>
    <row r="411" spans="1:10" x14ac:dyDescent="0.25">
      <c r="A411" s="8" t="s">
        <v>4433</v>
      </c>
      <c r="B411" s="8" t="s">
        <v>5168</v>
      </c>
      <c r="C411" s="31">
        <v>101</v>
      </c>
      <c r="D411" s="8" t="s">
        <v>1877</v>
      </c>
      <c r="E411" s="8" t="s">
        <v>4501</v>
      </c>
      <c r="F411" s="11" t="s">
        <v>24</v>
      </c>
      <c r="G411" s="11" t="s">
        <v>24</v>
      </c>
      <c r="H411" s="1"/>
      <c r="I411" s="1"/>
      <c r="J411" s="1"/>
    </row>
    <row r="412" spans="1:10" x14ac:dyDescent="0.25">
      <c r="A412" s="8" t="s">
        <v>4433</v>
      </c>
      <c r="B412" s="8" t="s">
        <v>5169</v>
      </c>
      <c r="C412" s="31">
        <v>11</v>
      </c>
      <c r="D412" s="8" t="s">
        <v>1877</v>
      </c>
      <c r="E412" s="8" t="s">
        <v>4501</v>
      </c>
      <c r="F412" s="11" t="s">
        <v>24</v>
      </c>
      <c r="G412" s="11" t="s">
        <v>24</v>
      </c>
      <c r="H412" s="1"/>
      <c r="I412" s="1"/>
      <c r="J412" s="1"/>
    </row>
    <row r="413" spans="1:10" x14ac:dyDescent="0.25">
      <c r="A413" s="8" t="s">
        <v>4433</v>
      </c>
      <c r="B413" s="8" t="s">
        <v>5170</v>
      </c>
      <c r="C413" s="31" t="s">
        <v>5171</v>
      </c>
      <c r="D413" s="8" t="s">
        <v>1877</v>
      </c>
      <c r="E413" s="8" t="s">
        <v>4473</v>
      </c>
      <c r="F413" s="11" t="s">
        <v>24</v>
      </c>
      <c r="G413" s="11" t="s">
        <v>24</v>
      </c>
      <c r="H413" s="1"/>
      <c r="I413" s="1"/>
      <c r="J413" s="1"/>
    </row>
    <row r="414" spans="1:10" x14ac:dyDescent="0.25">
      <c r="A414" s="8" t="s">
        <v>4433</v>
      </c>
      <c r="B414" s="8" t="s">
        <v>5172</v>
      </c>
      <c r="C414" s="31">
        <v>3692</v>
      </c>
      <c r="D414" s="8" t="s">
        <v>1877</v>
      </c>
      <c r="E414" s="8" t="s">
        <v>4501</v>
      </c>
      <c r="F414" s="11" t="s">
        <v>24</v>
      </c>
      <c r="G414" s="11" t="s">
        <v>24</v>
      </c>
      <c r="H414" s="1"/>
      <c r="I414" s="1"/>
      <c r="J414" s="1"/>
    </row>
    <row r="415" spans="1:10" x14ac:dyDescent="0.25">
      <c r="A415" s="8" t="s">
        <v>4433</v>
      </c>
      <c r="B415" s="8" t="s">
        <v>5173</v>
      </c>
      <c r="C415" s="31" t="s">
        <v>5174</v>
      </c>
      <c r="D415" s="8" t="s">
        <v>1894</v>
      </c>
      <c r="E415" s="8" t="s">
        <v>4442</v>
      </c>
      <c r="F415" s="11" t="s">
        <v>24</v>
      </c>
      <c r="G415" s="11" t="s">
        <v>24</v>
      </c>
      <c r="H415" s="1"/>
      <c r="I415" s="1"/>
      <c r="J415" s="1"/>
    </row>
    <row r="416" spans="1:10" x14ac:dyDescent="0.25">
      <c r="A416" s="8" t="s">
        <v>4433</v>
      </c>
      <c r="B416" s="8" t="s">
        <v>5175</v>
      </c>
      <c r="C416" s="31" t="s">
        <v>5176</v>
      </c>
      <c r="D416" s="8" t="s">
        <v>1881</v>
      </c>
      <c r="E416" s="8" t="s">
        <v>4442</v>
      </c>
      <c r="F416" s="11" t="s">
        <v>195</v>
      </c>
      <c r="G416" s="11" t="s">
        <v>24</v>
      </c>
      <c r="H416" s="1"/>
      <c r="I416" s="1"/>
      <c r="J416" s="1"/>
    </row>
    <row r="417" spans="1:10" x14ac:dyDescent="0.25">
      <c r="A417" s="8" t="s">
        <v>4433</v>
      </c>
      <c r="B417" s="8" t="s">
        <v>5177</v>
      </c>
      <c r="C417" s="31" t="s">
        <v>5178</v>
      </c>
      <c r="D417" s="8" t="s">
        <v>1877</v>
      </c>
      <c r="E417" s="8" t="s">
        <v>4473</v>
      </c>
      <c r="F417" s="11" t="s">
        <v>24</v>
      </c>
      <c r="G417" s="11" t="s">
        <v>24</v>
      </c>
      <c r="H417" s="1"/>
      <c r="I417" s="1"/>
      <c r="J417" s="1"/>
    </row>
    <row r="418" spans="1:10" x14ac:dyDescent="0.25">
      <c r="A418" s="8" t="s">
        <v>4433</v>
      </c>
      <c r="B418" s="8" t="s">
        <v>5179</v>
      </c>
      <c r="C418" s="31" t="s">
        <v>5180</v>
      </c>
      <c r="D418" s="8" t="s">
        <v>1877</v>
      </c>
      <c r="E418" s="8" t="s">
        <v>4463</v>
      </c>
      <c r="F418" s="11" t="s">
        <v>24</v>
      </c>
      <c r="G418" s="11" t="s">
        <v>24</v>
      </c>
      <c r="H418" s="1"/>
      <c r="I418" s="1"/>
      <c r="J418" s="1"/>
    </row>
    <row r="419" spans="1:10" x14ac:dyDescent="0.25">
      <c r="A419" s="8" t="s">
        <v>4433</v>
      </c>
      <c r="B419" s="8" t="s">
        <v>5181</v>
      </c>
      <c r="C419" s="31" t="s">
        <v>5182</v>
      </c>
      <c r="D419" s="8" t="s">
        <v>1877</v>
      </c>
      <c r="E419" s="8" t="s">
        <v>4442</v>
      </c>
      <c r="F419" s="11" t="s">
        <v>195</v>
      </c>
      <c r="G419" s="11" t="s">
        <v>24</v>
      </c>
      <c r="H419" s="1"/>
      <c r="I419" s="1"/>
      <c r="J419" s="1"/>
    </row>
    <row r="420" spans="1:10" x14ac:dyDescent="0.25">
      <c r="A420" s="8" t="s">
        <v>4433</v>
      </c>
      <c r="B420" s="8" t="s">
        <v>5183</v>
      </c>
      <c r="C420" s="31">
        <v>12</v>
      </c>
      <c r="D420" s="8" t="s">
        <v>1877</v>
      </c>
      <c r="E420" s="8" t="s">
        <v>4501</v>
      </c>
      <c r="F420" s="11" t="s">
        <v>24</v>
      </c>
      <c r="G420" s="11" t="s">
        <v>24</v>
      </c>
      <c r="H420" s="1"/>
      <c r="I420" s="1"/>
      <c r="J420" s="1"/>
    </row>
    <row r="421" spans="1:10" x14ac:dyDescent="0.25">
      <c r="A421" s="8" t="s">
        <v>4433</v>
      </c>
      <c r="B421" s="8" t="s">
        <v>5184</v>
      </c>
      <c r="C421" s="31">
        <v>1044</v>
      </c>
      <c r="D421" s="8" t="s">
        <v>1877</v>
      </c>
      <c r="E421" s="8" t="s">
        <v>4501</v>
      </c>
      <c r="F421" s="11" t="s">
        <v>24</v>
      </c>
      <c r="G421" s="11" t="s">
        <v>24</v>
      </c>
      <c r="H421" s="1"/>
      <c r="I421" s="1"/>
      <c r="J421" s="1"/>
    </row>
    <row r="422" spans="1:10" x14ac:dyDescent="0.25">
      <c r="A422" s="8" t="s">
        <v>4433</v>
      </c>
      <c r="B422" s="8" t="s">
        <v>5185</v>
      </c>
      <c r="C422" s="31" t="s">
        <v>5186</v>
      </c>
      <c r="D422" s="8" t="s">
        <v>1991</v>
      </c>
      <c r="E422" s="8" t="s">
        <v>4473</v>
      </c>
      <c r="F422" s="11" t="s">
        <v>24</v>
      </c>
      <c r="G422" s="11" t="s">
        <v>24</v>
      </c>
      <c r="H422" s="1"/>
      <c r="I422" s="1"/>
      <c r="J422" s="1"/>
    </row>
    <row r="423" spans="1:10" x14ac:dyDescent="0.25">
      <c r="A423" s="8" t="s">
        <v>4433</v>
      </c>
      <c r="B423" s="8" t="s">
        <v>5187</v>
      </c>
      <c r="C423" s="31" t="s">
        <v>5188</v>
      </c>
      <c r="D423" s="8" t="s">
        <v>1877</v>
      </c>
      <c r="E423" s="8" t="s">
        <v>4454</v>
      </c>
      <c r="F423" s="11" t="s">
        <v>24</v>
      </c>
      <c r="G423" s="11" t="s">
        <v>24</v>
      </c>
      <c r="H423" s="1"/>
      <c r="I423" s="1"/>
      <c r="J423" s="1"/>
    </row>
    <row r="424" spans="1:10" x14ac:dyDescent="0.25">
      <c r="A424" s="8" t="s">
        <v>4433</v>
      </c>
      <c r="B424" s="8" t="s">
        <v>5189</v>
      </c>
      <c r="C424" s="31" t="s">
        <v>5190</v>
      </c>
      <c r="D424" s="8" t="s">
        <v>1877</v>
      </c>
      <c r="E424" s="8" t="s">
        <v>4450</v>
      </c>
      <c r="F424" s="11" t="s">
        <v>24</v>
      </c>
      <c r="G424" s="11" t="s">
        <v>24</v>
      </c>
      <c r="H424" s="1"/>
      <c r="I424" s="1"/>
      <c r="J424" s="1"/>
    </row>
    <row r="425" spans="1:10" x14ac:dyDescent="0.25">
      <c r="A425" s="8" t="s">
        <v>4433</v>
      </c>
      <c r="B425" s="8" t="s">
        <v>5191</v>
      </c>
      <c r="C425" s="31" t="s">
        <v>3790</v>
      </c>
      <c r="D425" s="8" t="s">
        <v>1877</v>
      </c>
      <c r="E425" s="8" t="s">
        <v>4468</v>
      </c>
      <c r="F425" s="11" t="s">
        <v>24</v>
      </c>
      <c r="G425" s="11" t="s">
        <v>24</v>
      </c>
      <c r="H425" s="1"/>
      <c r="I425" s="1"/>
      <c r="J425" s="1"/>
    </row>
    <row r="426" spans="1:10" x14ac:dyDescent="0.25">
      <c r="A426" s="8" t="s">
        <v>4433</v>
      </c>
      <c r="B426" s="8" t="s">
        <v>5192</v>
      </c>
      <c r="C426" s="31" t="s">
        <v>5193</v>
      </c>
      <c r="D426" s="8" t="s">
        <v>1877</v>
      </c>
      <c r="E426" s="8" t="s">
        <v>4454</v>
      </c>
      <c r="F426" s="11" t="s">
        <v>24</v>
      </c>
      <c r="G426" s="11" t="s">
        <v>24</v>
      </c>
      <c r="H426" s="1"/>
      <c r="I426" s="1"/>
      <c r="J426" s="1"/>
    </row>
    <row r="427" spans="1:10" x14ac:dyDescent="0.25">
      <c r="A427" s="8" t="s">
        <v>4433</v>
      </c>
      <c r="B427" s="8" t="s">
        <v>5194</v>
      </c>
      <c r="C427" s="31" t="s">
        <v>5195</v>
      </c>
      <c r="D427" s="8" t="s">
        <v>1877</v>
      </c>
      <c r="E427" s="8" t="s">
        <v>4439</v>
      </c>
      <c r="F427" s="11" t="s">
        <v>24</v>
      </c>
      <c r="G427" s="11" t="s">
        <v>24</v>
      </c>
      <c r="H427" s="1"/>
      <c r="I427" s="1"/>
      <c r="J427" s="1"/>
    </row>
    <row r="428" spans="1:10" x14ac:dyDescent="0.25">
      <c r="A428" s="8" t="s">
        <v>4433</v>
      </c>
      <c r="B428" s="8" t="s">
        <v>5196</v>
      </c>
      <c r="C428" s="31" t="s">
        <v>5197</v>
      </c>
      <c r="D428" s="8" t="s">
        <v>1877</v>
      </c>
      <c r="E428" s="8" t="s">
        <v>4453</v>
      </c>
      <c r="F428" s="11" t="s">
        <v>24</v>
      </c>
      <c r="G428" s="11" t="s">
        <v>24</v>
      </c>
      <c r="H428" s="1"/>
      <c r="I428" s="1"/>
      <c r="J428" s="1"/>
    </row>
    <row r="429" spans="1:10" x14ac:dyDescent="0.25">
      <c r="A429" s="8" t="s">
        <v>4433</v>
      </c>
      <c r="B429" s="8" t="s">
        <v>5198</v>
      </c>
      <c r="C429" s="31" t="s">
        <v>5199</v>
      </c>
      <c r="D429" s="8" t="s">
        <v>1877</v>
      </c>
      <c r="E429" s="8" t="s">
        <v>4442</v>
      </c>
      <c r="F429" s="11" t="s">
        <v>24</v>
      </c>
      <c r="G429" s="11" t="s">
        <v>24</v>
      </c>
      <c r="H429" s="1"/>
      <c r="I429" s="1"/>
      <c r="J429" s="1"/>
    </row>
    <row r="430" spans="1:10" x14ac:dyDescent="0.25">
      <c r="A430" s="8" t="s">
        <v>4433</v>
      </c>
      <c r="B430" s="8" t="s">
        <v>5200</v>
      </c>
      <c r="C430" s="31" t="s">
        <v>5201</v>
      </c>
      <c r="D430" s="8" t="s">
        <v>1877</v>
      </c>
      <c r="E430" s="8" t="s">
        <v>4436</v>
      </c>
      <c r="F430" s="11" t="s">
        <v>24</v>
      </c>
      <c r="G430" s="11" t="s">
        <v>24</v>
      </c>
      <c r="H430" s="1"/>
      <c r="I430" s="1"/>
      <c r="J430" s="1"/>
    </row>
    <row r="431" spans="1:10" x14ac:dyDescent="0.25">
      <c r="A431" s="8" t="s">
        <v>4433</v>
      </c>
      <c r="B431" s="8" t="s">
        <v>5202</v>
      </c>
      <c r="C431" s="31">
        <v>388</v>
      </c>
      <c r="D431" s="8" t="s">
        <v>1877</v>
      </c>
      <c r="E431" s="8" t="s">
        <v>4501</v>
      </c>
      <c r="F431" s="11" t="s">
        <v>24</v>
      </c>
      <c r="G431" s="11" t="s">
        <v>24</v>
      </c>
      <c r="H431" s="1"/>
      <c r="I431" s="1"/>
      <c r="J431" s="1"/>
    </row>
    <row r="432" spans="1:10" x14ac:dyDescent="0.25">
      <c r="A432" s="8" t="s">
        <v>4433</v>
      </c>
      <c r="B432" s="8" t="s">
        <v>5203</v>
      </c>
      <c r="C432" s="31">
        <v>3</v>
      </c>
      <c r="D432" s="8" t="s">
        <v>1877</v>
      </c>
      <c r="E432" s="8" t="s">
        <v>4501</v>
      </c>
      <c r="F432" s="11" t="s">
        <v>24</v>
      </c>
      <c r="G432" s="11" t="s">
        <v>24</v>
      </c>
      <c r="H432" s="1"/>
      <c r="I432" s="1"/>
      <c r="J432" s="1"/>
    </row>
    <row r="433" spans="1:10" x14ac:dyDescent="0.25">
      <c r="A433" s="8" t="s">
        <v>4433</v>
      </c>
      <c r="B433" s="8" t="s">
        <v>5204</v>
      </c>
      <c r="C433" s="31" t="s">
        <v>5205</v>
      </c>
      <c r="D433" s="8" t="s">
        <v>1877</v>
      </c>
      <c r="E433" s="8" t="s">
        <v>4768</v>
      </c>
      <c r="F433" s="11" t="s">
        <v>24</v>
      </c>
      <c r="G433" s="11" t="s">
        <v>24</v>
      </c>
      <c r="H433" s="1"/>
      <c r="I433" s="1"/>
      <c r="J433" s="1"/>
    </row>
    <row r="434" spans="1:10" x14ac:dyDescent="0.25">
      <c r="A434" s="8" t="s">
        <v>4433</v>
      </c>
      <c r="B434" s="8" t="s">
        <v>5206</v>
      </c>
      <c r="C434" s="31" t="s">
        <v>5207</v>
      </c>
      <c r="D434" s="8" t="s">
        <v>1877</v>
      </c>
      <c r="E434" s="8" t="s">
        <v>4442</v>
      </c>
      <c r="F434" s="11" t="s">
        <v>24</v>
      </c>
      <c r="G434" s="11" t="s">
        <v>24</v>
      </c>
      <c r="H434" s="1"/>
      <c r="I434" s="1"/>
      <c r="J434" s="1"/>
    </row>
    <row r="435" spans="1:10" x14ac:dyDescent="0.25">
      <c r="A435" s="8" t="s">
        <v>4433</v>
      </c>
      <c r="B435" s="8" t="s">
        <v>5208</v>
      </c>
      <c r="C435" s="31" t="s">
        <v>5209</v>
      </c>
      <c r="D435" s="8" t="s">
        <v>1877</v>
      </c>
      <c r="E435" s="8" t="s">
        <v>4439</v>
      </c>
      <c r="F435" s="11" t="s">
        <v>24</v>
      </c>
      <c r="G435" s="11" t="s">
        <v>24</v>
      </c>
      <c r="H435" s="1"/>
      <c r="I435" s="1"/>
      <c r="J435" s="1"/>
    </row>
    <row r="436" spans="1:10" x14ac:dyDescent="0.25">
      <c r="A436" s="8" t="s">
        <v>4433</v>
      </c>
      <c r="B436" s="8" t="s">
        <v>5210</v>
      </c>
      <c r="C436" s="31">
        <v>5</v>
      </c>
      <c r="D436" s="8" t="s">
        <v>1877</v>
      </c>
      <c r="E436" s="8" t="s">
        <v>4501</v>
      </c>
      <c r="F436" s="11" t="s">
        <v>24</v>
      </c>
      <c r="G436" s="11" t="s">
        <v>24</v>
      </c>
      <c r="H436" s="1"/>
      <c r="I436" s="1"/>
      <c r="J436" s="1"/>
    </row>
    <row r="437" spans="1:10" x14ac:dyDescent="0.25">
      <c r="A437" s="8" t="s">
        <v>4433</v>
      </c>
      <c r="B437" s="8" t="s">
        <v>5211</v>
      </c>
      <c r="C437" s="31" t="s">
        <v>5212</v>
      </c>
      <c r="D437" s="8" t="s">
        <v>1877</v>
      </c>
      <c r="E437" s="8" t="s">
        <v>4442</v>
      </c>
      <c r="F437" s="11" t="s">
        <v>195</v>
      </c>
      <c r="G437" s="11" t="s">
        <v>24</v>
      </c>
      <c r="H437" s="1"/>
      <c r="I437" s="1"/>
      <c r="J437" s="1"/>
    </row>
    <row r="438" spans="1:10" x14ac:dyDescent="0.25">
      <c r="A438" s="8" t="s">
        <v>4433</v>
      </c>
      <c r="B438" s="8" t="s">
        <v>5213</v>
      </c>
      <c r="C438" s="31" t="s">
        <v>3050</v>
      </c>
      <c r="D438" s="8" t="s">
        <v>1877</v>
      </c>
      <c r="E438" s="8" t="s">
        <v>4442</v>
      </c>
      <c r="F438" s="11" t="s">
        <v>195</v>
      </c>
      <c r="G438" s="11" t="s">
        <v>24</v>
      </c>
      <c r="H438" s="1"/>
      <c r="I438" s="1"/>
      <c r="J438" s="1"/>
    </row>
    <row r="439" spans="1:10" x14ac:dyDescent="0.25">
      <c r="A439" s="8" t="s">
        <v>4433</v>
      </c>
      <c r="B439" s="8" t="s">
        <v>5214</v>
      </c>
      <c r="C439" s="31" t="s">
        <v>5215</v>
      </c>
      <c r="D439" s="8" t="s">
        <v>1877</v>
      </c>
      <c r="E439" s="8" t="s">
        <v>4454</v>
      </c>
      <c r="F439" s="11" t="s">
        <v>195</v>
      </c>
      <c r="G439" s="11" t="s">
        <v>24</v>
      </c>
      <c r="H439" s="1"/>
      <c r="I439" s="1"/>
      <c r="J439" s="1"/>
    </row>
    <row r="440" spans="1:10" x14ac:dyDescent="0.25">
      <c r="A440" s="8" t="s">
        <v>4433</v>
      </c>
      <c r="B440" s="8" t="s">
        <v>5216</v>
      </c>
      <c r="C440" s="31" t="s">
        <v>5217</v>
      </c>
      <c r="D440" s="8" t="s">
        <v>1877</v>
      </c>
      <c r="E440" s="8" t="s">
        <v>4499</v>
      </c>
      <c r="F440" s="11" t="s">
        <v>24</v>
      </c>
      <c r="G440" s="11" t="s">
        <v>24</v>
      </c>
      <c r="H440" s="1"/>
      <c r="I440" s="1"/>
      <c r="J440" s="1"/>
    </row>
    <row r="441" spans="1:10" x14ac:dyDescent="0.25">
      <c r="A441" s="8" t="s">
        <v>4433</v>
      </c>
      <c r="B441" s="8" t="s">
        <v>5218</v>
      </c>
      <c r="C441" s="31" t="s">
        <v>5219</v>
      </c>
      <c r="D441" s="8" t="s">
        <v>1877</v>
      </c>
      <c r="E441" s="8" t="s">
        <v>4490</v>
      </c>
      <c r="F441" s="11" t="s">
        <v>24</v>
      </c>
      <c r="G441" s="11" t="s">
        <v>24</v>
      </c>
      <c r="H441" s="1"/>
      <c r="I441" s="1"/>
      <c r="J441" s="1"/>
    </row>
    <row r="442" spans="1:10" x14ac:dyDescent="0.25">
      <c r="A442" s="8" t="s">
        <v>4433</v>
      </c>
      <c r="B442" s="8" t="s">
        <v>5220</v>
      </c>
      <c r="C442" s="31" t="s">
        <v>5221</v>
      </c>
      <c r="D442" s="8" t="s">
        <v>1877</v>
      </c>
      <c r="E442" s="8" t="s">
        <v>4540</v>
      </c>
      <c r="F442" s="11" t="s">
        <v>24</v>
      </c>
      <c r="G442" s="11" t="s">
        <v>24</v>
      </c>
      <c r="H442" s="1"/>
      <c r="I442" s="1"/>
      <c r="J442" s="1"/>
    </row>
    <row r="443" spans="1:10" x14ac:dyDescent="0.25">
      <c r="A443" s="8" t="s">
        <v>4433</v>
      </c>
      <c r="B443" s="8" t="s">
        <v>5222</v>
      </c>
      <c r="C443" s="31" t="s">
        <v>5223</v>
      </c>
      <c r="D443" s="8" t="s">
        <v>1894</v>
      </c>
      <c r="E443" s="8" t="s">
        <v>4442</v>
      </c>
      <c r="F443" s="11" t="s">
        <v>195</v>
      </c>
      <c r="G443" s="11" t="s">
        <v>24</v>
      </c>
      <c r="H443" s="1"/>
      <c r="I443" s="1"/>
      <c r="J443" s="1"/>
    </row>
    <row r="444" spans="1:10" x14ac:dyDescent="0.25">
      <c r="A444" s="8" t="s">
        <v>4433</v>
      </c>
      <c r="B444" s="8" t="s">
        <v>5224</v>
      </c>
      <c r="C444" s="31" t="s">
        <v>3058</v>
      </c>
      <c r="D444" s="8" t="s">
        <v>1877</v>
      </c>
      <c r="E444" s="8" t="s">
        <v>4442</v>
      </c>
      <c r="F444" s="11" t="s">
        <v>195</v>
      </c>
      <c r="G444" s="11" t="s">
        <v>24</v>
      </c>
      <c r="H444" s="1"/>
      <c r="I444" s="1"/>
      <c r="J444" s="1"/>
    </row>
    <row r="445" spans="1:10" x14ac:dyDescent="0.25">
      <c r="A445" s="8" t="s">
        <v>4433</v>
      </c>
      <c r="B445" s="8" t="s">
        <v>5225</v>
      </c>
      <c r="C445" s="31" t="s">
        <v>5226</v>
      </c>
      <c r="D445" s="8" t="s">
        <v>1877</v>
      </c>
      <c r="E445" s="8" t="s">
        <v>4436</v>
      </c>
      <c r="F445" s="11" t="s">
        <v>24</v>
      </c>
      <c r="G445" s="11" t="s">
        <v>24</v>
      </c>
      <c r="H445" s="1"/>
      <c r="I445" s="1"/>
      <c r="J445" s="1"/>
    </row>
    <row r="446" spans="1:10" x14ac:dyDescent="0.25">
      <c r="A446" s="8" t="s">
        <v>4433</v>
      </c>
      <c r="B446" s="8" t="s">
        <v>5227</v>
      </c>
      <c r="C446" s="31" t="s">
        <v>5228</v>
      </c>
      <c r="D446" s="8" t="s">
        <v>1877</v>
      </c>
      <c r="E446" s="8" t="s">
        <v>4436</v>
      </c>
      <c r="F446" s="11" t="s">
        <v>24</v>
      </c>
      <c r="G446" s="11" t="s">
        <v>24</v>
      </c>
      <c r="H446" s="1"/>
      <c r="I446" s="1"/>
      <c r="J446" s="1"/>
    </row>
    <row r="447" spans="1:10" x14ac:dyDescent="0.25">
      <c r="A447" s="8" t="s">
        <v>4433</v>
      </c>
      <c r="B447" s="8" t="s">
        <v>5229</v>
      </c>
      <c r="C447" s="31" t="s">
        <v>5230</v>
      </c>
      <c r="D447" s="8" t="s">
        <v>1877</v>
      </c>
      <c r="E447" s="8" t="s">
        <v>4463</v>
      </c>
      <c r="F447" s="11" t="s">
        <v>24</v>
      </c>
      <c r="G447" s="11" t="s">
        <v>24</v>
      </c>
      <c r="H447" s="1"/>
      <c r="I447" s="1"/>
      <c r="J447" s="1"/>
    </row>
    <row r="448" spans="1:10" x14ac:dyDescent="0.25">
      <c r="A448" s="8" t="s">
        <v>4433</v>
      </c>
      <c r="B448" s="8" t="s">
        <v>5231</v>
      </c>
      <c r="C448" s="31" t="s">
        <v>3110</v>
      </c>
      <c r="D448" s="8" t="s">
        <v>1877</v>
      </c>
      <c r="E448" s="8" t="s">
        <v>4439</v>
      </c>
      <c r="F448" s="11" t="s">
        <v>24</v>
      </c>
      <c r="G448" s="11" t="s">
        <v>24</v>
      </c>
      <c r="H448" s="1"/>
      <c r="I448" s="1"/>
      <c r="J448" s="1"/>
    </row>
    <row r="449" spans="1:10" x14ac:dyDescent="0.25">
      <c r="A449" s="8" t="s">
        <v>4433</v>
      </c>
      <c r="B449" s="8" t="s">
        <v>5232</v>
      </c>
      <c r="C449" s="31" t="s">
        <v>5233</v>
      </c>
      <c r="D449" s="8" t="s">
        <v>1877</v>
      </c>
      <c r="E449" s="8" t="s">
        <v>4499</v>
      </c>
      <c r="F449" s="11" t="s">
        <v>24</v>
      </c>
      <c r="G449" s="11" t="s">
        <v>24</v>
      </c>
      <c r="H449" s="1"/>
      <c r="I449" s="1"/>
      <c r="J449" s="1"/>
    </row>
    <row r="450" spans="1:10" x14ac:dyDescent="0.25">
      <c r="A450" s="8" t="s">
        <v>4433</v>
      </c>
      <c r="B450" s="8" t="s">
        <v>5234</v>
      </c>
      <c r="C450" s="31">
        <v>1398</v>
      </c>
      <c r="D450" s="8" t="s">
        <v>1877</v>
      </c>
      <c r="E450" s="8" t="s">
        <v>4501</v>
      </c>
      <c r="F450" s="11" t="s">
        <v>24</v>
      </c>
      <c r="G450" s="11" t="s">
        <v>24</v>
      </c>
      <c r="H450" s="1"/>
      <c r="I450" s="1"/>
      <c r="J450" s="1"/>
    </row>
    <row r="451" spans="1:10" x14ac:dyDescent="0.25">
      <c r="A451" s="8" t="s">
        <v>4433</v>
      </c>
      <c r="B451" s="8" t="s">
        <v>5235</v>
      </c>
      <c r="C451" s="31" t="s">
        <v>5236</v>
      </c>
      <c r="D451" s="8" t="s">
        <v>1877</v>
      </c>
      <c r="E451" s="8" t="s">
        <v>4473</v>
      </c>
      <c r="F451" s="11" t="s">
        <v>24</v>
      </c>
      <c r="G451" s="11" t="s">
        <v>24</v>
      </c>
      <c r="H451" s="1"/>
      <c r="I451" s="1"/>
      <c r="J451" s="1"/>
    </row>
    <row r="452" spans="1:10" x14ac:dyDescent="0.25">
      <c r="A452" s="8" t="s">
        <v>4433</v>
      </c>
      <c r="B452" s="8" t="s">
        <v>5237</v>
      </c>
      <c r="C452" s="31" t="s">
        <v>5238</v>
      </c>
      <c r="D452" s="8" t="s">
        <v>1877</v>
      </c>
      <c r="E452" s="8" t="s">
        <v>4439</v>
      </c>
      <c r="F452" s="11" t="s">
        <v>24</v>
      </c>
      <c r="G452" s="11" t="s">
        <v>24</v>
      </c>
      <c r="H452" s="1"/>
      <c r="I452" s="1"/>
      <c r="J452" s="1"/>
    </row>
    <row r="453" spans="1:10" x14ac:dyDescent="0.25">
      <c r="A453" s="8" t="s">
        <v>4433</v>
      </c>
      <c r="B453" s="8" t="s">
        <v>5239</v>
      </c>
      <c r="C453" s="31" t="s">
        <v>5240</v>
      </c>
      <c r="D453" s="8" t="s">
        <v>1877</v>
      </c>
      <c r="E453" s="8" t="s">
        <v>4450</v>
      </c>
      <c r="F453" s="11" t="s">
        <v>24</v>
      </c>
      <c r="G453" s="11" t="s">
        <v>24</v>
      </c>
      <c r="H453" s="1"/>
      <c r="I453" s="1"/>
      <c r="J453" s="1"/>
    </row>
    <row r="454" spans="1:10" x14ac:dyDescent="0.25">
      <c r="A454" s="8" t="s">
        <v>4433</v>
      </c>
      <c r="B454" s="8" t="s">
        <v>5241</v>
      </c>
      <c r="C454" s="31" t="s">
        <v>5242</v>
      </c>
      <c r="D454" s="8" t="s">
        <v>1877</v>
      </c>
      <c r="E454" s="8" t="s">
        <v>4463</v>
      </c>
      <c r="F454" s="11" t="s">
        <v>24</v>
      </c>
      <c r="G454" s="11" t="s">
        <v>24</v>
      </c>
      <c r="H454" s="1"/>
      <c r="I454" s="1"/>
      <c r="J454" s="1"/>
    </row>
    <row r="455" spans="1:10" x14ac:dyDescent="0.25">
      <c r="A455" s="8" t="s">
        <v>4433</v>
      </c>
      <c r="B455" s="8" t="s">
        <v>5243</v>
      </c>
      <c r="C455" s="31" t="s">
        <v>5244</v>
      </c>
      <c r="D455" s="8" t="s">
        <v>1877</v>
      </c>
      <c r="E455" s="8" t="s">
        <v>4499</v>
      </c>
      <c r="F455" s="11" t="s">
        <v>24</v>
      </c>
      <c r="G455" s="11" t="s">
        <v>24</v>
      </c>
      <c r="H455" s="1"/>
      <c r="I455" s="1"/>
      <c r="J455" s="1"/>
    </row>
    <row r="456" spans="1:10" x14ac:dyDescent="0.25">
      <c r="A456" s="8" t="s">
        <v>4433</v>
      </c>
      <c r="B456" s="8" t="s">
        <v>5245</v>
      </c>
      <c r="C456" s="31" t="s">
        <v>5246</v>
      </c>
      <c r="D456" s="8" t="s">
        <v>1877</v>
      </c>
      <c r="E456" s="8" t="s">
        <v>4436</v>
      </c>
      <c r="F456" s="11" t="s">
        <v>24</v>
      </c>
      <c r="G456" s="11" t="s">
        <v>24</v>
      </c>
      <c r="H456" s="1"/>
      <c r="I456" s="1"/>
      <c r="J456" s="1"/>
    </row>
    <row r="457" spans="1:10" x14ac:dyDescent="0.25">
      <c r="A457" s="8" t="s">
        <v>4433</v>
      </c>
      <c r="B457" s="8" t="s">
        <v>5247</v>
      </c>
      <c r="C457" s="31" t="s">
        <v>5248</v>
      </c>
      <c r="D457" s="8" t="s">
        <v>1877</v>
      </c>
      <c r="E457" s="8" t="s">
        <v>4436</v>
      </c>
      <c r="F457" s="11" t="s">
        <v>195</v>
      </c>
      <c r="G457" s="11" t="s">
        <v>24</v>
      </c>
      <c r="H457" s="1"/>
      <c r="I457" s="1"/>
      <c r="J457" s="1"/>
    </row>
    <row r="458" spans="1:10" x14ac:dyDescent="0.25">
      <c r="A458" s="8" t="s">
        <v>4433</v>
      </c>
      <c r="B458" s="8" t="s">
        <v>5249</v>
      </c>
      <c r="C458" s="31" t="s">
        <v>5250</v>
      </c>
      <c r="D458" s="8" t="s">
        <v>1877</v>
      </c>
      <c r="E458" s="8" t="s">
        <v>4442</v>
      </c>
      <c r="F458" s="11" t="s">
        <v>195</v>
      </c>
      <c r="G458" s="11" t="s">
        <v>24</v>
      </c>
      <c r="H458" s="1"/>
      <c r="I458" s="1"/>
      <c r="J458" s="1"/>
    </row>
    <row r="459" spans="1:10" x14ac:dyDescent="0.25">
      <c r="A459" s="8" t="s">
        <v>4433</v>
      </c>
      <c r="B459" s="8" t="s">
        <v>5251</v>
      </c>
      <c r="C459" s="31" t="s">
        <v>5252</v>
      </c>
      <c r="D459" s="8" t="s">
        <v>1877</v>
      </c>
      <c r="E459" s="8" t="s">
        <v>4439</v>
      </c>
      <c r="F459" s="11" t="s">
        <v>24</v>
      </c>
      <c r="G459" s="11" t="s">
        <v>24</v>
      </c>
      <c r="H459" s="1"/>
      <c r="I459" s="1"/>
      <c r="J459" s="1"/>
    </row>
    <row r="460" spans="1:10" x14ac:dyDescent="0.25">
      <c r="A460" s="8" t="s">
        <v>4433</v>
      </c>
      <c r="B460" s="8" t="s">
        <v>5253</v>
      </c>
      <c r="C460" s="31" t="s">
        <v>5254</v>
      </c>
      <c r="D460" s="8" t="s">
        <v>1877</v>
      </c>
      <c r="E460" s="8" t="s">
        <v>4442</v>
      </c>
      <c r="F460" s="11" t="s">
        <v>24</v>
      </c>
      <c r="G460" s="11" t="s">
        <v>24</v>
      </c>
      <c r="H460" s="1"/>
      <c r="I460" s="1"/>
      <c r="J460" s="1"/>
    </row>
    <row r="461" spans="1:10" x14ac:dyDescent="0.25">
      <c r="A461" s="8" t="s">
        <v>4433</v>
      </c>
      <c r="B461" s="8" t="s">
        <v>5255</v>
      </c>
      <c r="C461" s="31" t="s">
        <v>3102</v>
      </c>
      <c r="D461" s="8" t="s">
        <v>1877</v>
      </c>
      <c r="E461" s="8" t="s">
        <v>4439</v>
      </c>
      <c r="F461" s="11" t="s">
        <v>24</v>
      </c>
      <c r="G461" s="11" t="s">
        <v>24</v>
      </c>
      <c r="H461" s="1"/>
      <c r="I461" s="1"/>
      <c r="J461" s="1"/>
    </row>
    <row r="462" spans="1:10" x14ac:dyDescent="0.25">
      <c r="A462" s="8" t="s">
        <v>4433</v>
      </c>
      <c r="B462" s="8" t="s">
        <v>5256</v>
      </c>
      <c r="C462" s="31" t="s">
        <v>5257</v>
      </c>
      <c r="D462" s="8" t="s">
        <v>1877</v>
      </c>
      <c r="E462" s="8" t="s">
        <v>4450</v>
      </c>
      <c r="F462" s="11" t="s">
        <v>24</v>
      </c>
      <c r="G462" s="11" t="s">
        <v>24</v>
      </c>
      <c r="H462" s="1"/>
      <c r="I462" s="1"/>
      <c r="J462" s="1"/>
    </row>
    <row r="463" spans="1:10" x14ac:dyDescent="0.25">
      <c r="A463" s="8" t="s">
        <v>4433</v>
      </c>
      <c r="B463" s="8" t="s">
        <v>5258</v>
      </c>
      <c r="C463" s="31" t="s">
        <v>5259</v>
      </c>
      <c r="D463" s="8" t="s">
        <v>1877</v>
      </c>
      <c r="E463" s="8" t="s">
        <v>4439</v>
      </c>
      <c r="F463" s="11" t="s">
        <v>24</v>
      </c>
      <c r="G463" s="11" t="s">
        <v>24</v>
      </c>
      <c r="H463" s="1"/>
      <c r="I463" s="1"/>
      <c r="J463" s="1"/>
    </row>
    <row r="464" spans="1:10" x14ac:dyDescent="0.25">
      <c r="A464" s="8" t="s">
        <v>4433</v>
      </c>
      <c r="B464" s="8" t="s">
        <v>5260</v>
      </c>
      <c r="C464" s="31" t="s">
        <v>5261</v>
      </c>
      <c r="D464" s="8" t="s">
        <v>1877</v>
      </c>
      <c r="E464" s="8" t="s">
        <v>4450</v>
      </c>
      <c r="F464" s="11" t="s">
        <v>24</v>
      </c>
      <c r="G464" s="11" t="s">
        <v>24</v>
      </c>
      <c r="H464" s="1"/>
      <c r="I464" s="1"/>
      <c r="J464" s="1"/>
    </row>
    <row r="465" spans="1:10" x14ac:dyDescent="0.25">
      <c r="A465" s="8" t="s">
        <v>4433</v>
      </c>
      <c r="B465" s="8" t="s">
        <v>5262</v>
      </c>
      <c r="C465" s="31" t="s">
        <v>5263</v>
      </c>
      <c r="D465" s="8" t="s">
        <v>1877</v>
      </c>
      <c r="E465" s="8" t="s">
        <v>4436</v>
      </c>
      <c r="F465" s="11" t="s">
        <v>24</v>
      </c>
      <c r="G465" s="11" t="s">
        <v>24</v>
      </c>
      <c r="H465" s="1"/>
      <c r="I465" s="1"/>
      <c r="J465" s="1"/>
    </row>
    <row r="466" spans="1:10" x14ac:dyDescent="0.25">
      <c r="A466" s="8" t="s">
        <v>4433</v>
      </c>
      <c r="B466" s="8" t="s">
        <v>5264</v>
      </c>
      <c r="C466" s="31" t="s">
        <v>5265</v>
      </c>
      <c r="D466" s="8" t="s">
        <v>1877</v>
      </c>
      <c r="E466" s="8" t="s">
        <v>4436</v>
      </c>
      <c r="F466" s="11" t="s">
        <v>24</v>
      </c>
      <c r="G466" s="11" t="s">
        <v>24</v>
      </c>
      <c r="H466" s="1"/>
      <c r="I466" s="1"/>
      <c r="J466" s="1"/>
    </row>
    <row r="467" spans="1:10" x14ac:dyDescent="0.25">
      <c r="A467" s="8" t="s">
        <v>4433</v>
      </c>
      <c r="B467" s="8" t="s">
        <v>5266</v>
      </c>
      <c r="C467" s="31" t="s">
        <v>5267</v>
      </c>
      <c r="D467" s="8" t="s">
        <v>1917</v>
      </c>
      <c r="E467" s="8" t="s">
        <v>4436</v>
      </c>
      <c r="F467" s="11" t="s">
        <v>24</v>
      </c>
      <c r="G467" s="11" t="s">
        <v>24</v>
      </c>
      <c r="H467" s="1"/>
      <c r="I467" s="1"/>
      <c r="J467" s="1"/>
    </row>
    <row r="468" spans="1:10" x14ac:dyDescent="0.25">
      <c r="A468" s="8" t="s">
        <v>4433</v>
      </c>
      <c r="B468" s="8" t="s">
        <v>5268</v>
      </c>
      <c r="C468" s="31" t="s">
        <v>5269</v>
      </c>
      <c r="D468" s="8" t="s">
        <v>1877</v>
      </c>
      <c r="E468" s="8" t="s">
        <v>4454</v>
      </c>
      <c r="F468" s="11" t="s">
        <v>24</v>
      </c>
      <c r="G468" s="11" t="s">
        <v>24</v>
      </c>
      <c r="H468" s="1"/>
      <c r="I468" s="1"/>
      <c r="J468" s="1"/>
    </row>
    <row r="469" spans="1:10" x14ac:dyDescent="0.25">
      <c r="A469" s="8" t="s">
        <v>4433</v>
      </c>
      <c r="B469" s="8" t="s">
        <v>5270</v>
      </c>
      <c r="C469" s="31" t="s">
        <v>5271</v>
      </c>
      <c r="D469" s="8" t="s">
        <v>1881</v>
      </c>
      <c r="E469" s="8" t="s">
        <v>4442</v>
      </c>
      <c r="F469" s="11" t="s">
        <v>195</v>
      </c>
      <c r="G469" s="11" t="s">
        <v>24</v>
      </c>
      <c r="H469" s="1"/>
      <c r="I469" s="1"/>
      <c r="J469" s="1"/>
    </row>
    <row r="470" spans="1:10" x14ac:dyDescent="0.25">
      <c r="A470" s="8" t="s">
        <v>4433</v>
      </c>
      <c r="B470" s="8" t="s">
        <v>5272</v>
      </c>
      <c r="C470" s="31" t="s">
        <v>5273</v>
      </c>
      <c r="D470" s="8" t="s">
        <v>1877</v>
      </c>
      <c r="E470" s="8" t="s">
        <v>4436</v>
      </c>
      <c r="F470" s="11" t="s">
        <v>24</v>
      </c>
      <c r="G470" s="11" t="s">
        <v>24</v>
      </c>
      <c r="H470" s="1"/>
      <c r="I470" s="1"/>
      <c r="J470" s="1"/>
    </row>
    <row r="471" spans="1:10" x14ac:dyDescent="0.25">
      <c r="A471" s="8" t="s">
        <v>4433</v>
      </c>
      <c r="B471" s="8" t="s">
        <v>5274</v>
      </c>
      <c r="C471" s="31" t="s">
        <v>3126</v>
      </c>
      <c r="D471" s="8" t="s">
        <v>1877</v>
      </c>
      <c r="E471" s="8" t="s">
        <v>4450</v>
      </c>
      <c r="F471" s="11" t="s">
        <v>195</v>
      </c>
      <c r="G471" s="11" t="s">
        <v>24</v>
      </c>
      <c r="H471" s="1"/>
      <c r="I471" s="1"/>
      <c r="J471" s="1"/>
    </row>
    <row r="472" spans="1:10" x14ac:dyDescent="0.25">
      <c r="A472" s="8" t="s">
        <v>4433</v>
      </c>
      <c r="B472" s="8" t="s">
        <v>5275</v>
      </c>
      <c r="C472" s="31" t="s">
        <v>5276</v>
      </c>
      <c r="D472" s="8" t="s">
        <v>1881</v>
      </c>
      <c r="E472" s="8" t="s">
        <v>4442</v>
      </c>
      <c r="F472" s="11" t="s">
        <v>195</v>
      </c>
      <c r="G472" s="11" t="s">
        <v>24</v>
      </c>
      <c r="H472" s="1"/>
      <c r="I472" s="1"/>
      <c r="J472" s="1"/>
    </row>
    <row r="473" spans="1:10" x14ac:dyDescent="0.25">
      <c r="A473" s="8" t="s">
        <v>4433</v>
      </c>
      <c r="B473" s="8" t="s">
        <v>5277</v>
      </c>
      <c r="C473" s="31" t="s">
        <v>5278</v>
      </c>
      <c r="D473" s="8" t="s">
        <v>1917</v>
      </c>
      <c r="E473" s="8" t="s">
        <v>4442</v>
      </c>
      <c r="F473" s="11" t="s">
        <v>195</v>
      </c>
      <c r="G473" s="11" t="s">
        <v>24</v>
      </c>
      <c r="H473" s="1"/>
      <c r="I473" s="1"/>
      <c r="J473" s="1"/>
    </row>
    <row r="474" spans="1:10" x14ac:dyDescent="0.25">
      <c r="A474" s="8" t="s">
        <v>4433</v>
      </c>
      <c r="B474" s="8" t="s">
        <v>5279</v>
      </c>
      <c r="C474" s="31" t="s">
        <v>5280</v>
      </c>
      <c r="D474" s="8" t="s">
        <v>1917</v>
      </c>
      <c r="E474" s="8" t="s">
        <v>4436</v>
      </c>
      <c r="F474" s="11" t="s">
        <v>24</v>
      </c>
      <c r="G474" s="11" t="s">
        <v>24</v>
      </c>
      <c r="H474" s="1"/>
      <c r="I474" s="1"/>
      <c r="J474" s="1"/>
    </row>
    <row r="475" spans="1:10" x14ac:dyDescent="0.25">
      <c r="A475" s="8" t="s">
        <v>4433</v>
      </c>
      <c r="B475" s="8" t="s">
        <v>5281</v>
      </c>
      <c r="C475" s="31" t="s">
        <v>5282</v>
      </c>
      <c r="D475" s="8" t="s">
        <v>1917</v>
      </c>
      <c r="E475" s="8" t="s">
        <v>4442</v>
      </c>
      <c r="F475" s="11" t="s">
        <v>24</v>
      </c>
      <c r="G475" s="11" t="s">
        <v>24</v>
      </c>
      <c r="H475" s="1"/>
      <c r="I475" s="1"/>
      <c r="J475" s="1"/>
    </row>
    <row r="476" spans="1:10" x14ac:dyDescent="0.25">
      <c r="A476" s="8" t="s">
        <v>4433</v>
      </c>
      <c r="B476" s="8" t="s">
        <v>5283</v>
      </c>
      <c r="C476" s="31" t="s">
        <v>5284</v>
      </c>
      <c r="D476" s="8" t="s">
        <v>1877</v>
      </c>
      <c r="E476" s="8" t="s">
        <v>4445</v>
      </c>
      <c r="F476" s="11" t="s">
        <v>24</v>
      </c>
      <c r="G476" s="11" t="s">
        <v>24</v>
      </c>
      <c r="H476" s="1"/>
      <c r="I476" s="1"/>
      <c r="J476" s="1"/>
    </row>
    <row r="477" spans="1:10" x14ac:dyDescent="0.25">
      <c r="A477" s="8" t="s">
        <v>4433</v>
      </c>
      <c r="B477" s="8" t="s">
        <v>5285</v>
      </c>
      <c r="C477" s="31" t="s">
        <v>5286</v>
      </c>
      <c r="D477" s="8" t="s">
        <v>1877</v>
      </c>
      <c r="E477" s="8" t="s">
        <v>4450</v>
      </c>
      <c r="F477" s="11" t="s">
        <v>24</v>
      </c>
      <c r="G477" s="11" t="s">
        <v>24</v>
      </c>
      <c r="H477" s="1"/>
      <c r="I477" s="1"/>
      <c r="J477" s="1"/>
    </row>
    <row r="478" spans="1:10" x14ac:dyDescent="0.25">
      <c r="A478" s="8" t="s">
        <v>4433</v>
      </c>
      <c r="B478" s="8" t="s">
        <v>5287</v>
      </c>
      <c r="C478" s="31">
        <v>8001</v>
      </c>
      <c r="D478" s="8" t="s">
        <v>1877</v>
      </c>
      <c r="E478" s="8" t="s">
        <v>4701</v>
      </c>
      <c r="F478" s="11" t="s">
        <v>24</v>
      </c>
      <c r="G478" s="11" t="s">
        <v>24</v>
      </c>
      <c r="H478" s="1"/>
      <c r="I478" s="1"/>
      <c r="J478" s="1"/>
    </row>
    <row r="479" spans="1:10" x14ac:dyDescent="0.25">
      <c r="A479" s="8" t="s">
        <v>4433</v>
      </c>
      <c r="B479" s="8" t="s">
        <v>5288</v>
      </c>
      <c r="C479" s="31" t="s">
        <v>5289</v>
      </c>
      <c r="D479" s="8" t="s">
        <v>1877</v>
      </c>
      <c r="E479" s="8" t="s">
        <v>4450</v>
      </c>
      <c r="F479" s="11" t="s">
        <v>24</v>
      </c>
      <c r="G479" s="11" t="s">
        <v>24</v>
      </c>
      <c r="H479" s="1"/>
      <c r="I479" s="1"/>
      <c r="J479" s="1"/>
    </row>
    <row r="480" spans="1:10" x14ac:dyDescent="0.25">
      <c r="A480" s="8" t="s">
        <v>4433</v>
      </c>
      <c r="B480" s="8" t="s">
        <v>5290</v>
      </c>
      <c r="C480" s="31">
        <v>8985</v>
      </c>
      <c r="D480" s="8" t="s">
        <v>1881</v>
      </c>
      <c r="E480" s="8" t="s">
        <v>4701</v>
      </c>
      <c r="F480" s="11" t="s">
        <v>195</v>
      </c>
      <c r="G480" s="11" t="s">
        <v>24</v>
      </c>
      <c r="H480" s="1"/>
      <c r="I480" s="1"/>
      <c r="J480" s="1"/>
    </row>
    <row r="481" spans="1:10" x14ac:dyDescent="0.25">
      <c r="A481" s="8" t="s">
        <v>4433</v>
      </c>
      <c r="B481" s="8" t="s">
        <v>5291</v>
      </c>
      <c r="C481" s="31">
        <v>8953</v>
      </c>
      <c r="D481" s="8" t="s">
        <v>1881</v>
      </c>
      <c r="E481" s="8" t="s">
        <v>4701</v>
      </c>
      <c r="F481" s="11" t="s">
        <v>195</v>
      </c>
      <c r="G481" s="11" t="s">
        <v>24</v>
      </c>
      <c r="H481" s="1"/>
      <c r="I481" s="1"/>
      <c r="J481" s="1"/>
    </row>
    <row r="482" spans="1:10" x14ac:dyDescent="0.25">
      <c r="A482" s="8" t="s">
        <v>4433</v>
      </c>
      <c r="B482" s="8" t="s">
        <v>5292</v>
      </c>
      <c r="C482" s="31" t="s">
        <v>5293</v>
      </c>
      <c r="D482" s="8" t="s">
        <v>1877</v>
      </c>
      <c r="E482" s="8" t="s">
        <v>4768</v>
      </c>
      <c r="F482" s="11" t="s">
        <v>24</v>
      </c>
      <c r="G482" s="11" t="s">
        <v>24</v>
      </c>
      <c r="H482" s="1"/>
      <c r="I482" s="1"/>
      <c r="J482" s="1"/>
    </row>
    <row r="483" spans="1:10" x14ac:dyDescent="0.25">
      <c r="A483" s="8" t="s">
        <v>4433</v>
      </c>
      <c r="B483" s="8" t="s">
        <v>5294</v>
      </c>
      <c r="C483" s="31" t="s">
        <v>5295</v>
      </c>
      <c r="D483" s="8" t="s">
        <v>1877</v>
      </c>
      <c r="E483" s="8" t="s">
        <v>4768</v>
      </c>
      <c r="F483" s="11" t="s">
        <v>24</v>
      </c>
      <c r="G483" s="11" t="s">
        <v>24</v>
      </c>
      <c r="H483" s="1"/>
      <c r="I483" s="1"/>
      <c r="J483" s="1"/>
    </row>
    <row r="484" spans="1:10" x14ac:dyDescent="0.25">
      <c r="A484" s="8" t="s">
        <v>4433</v>
      </c>
      <c r="B484" s="8" t="s">
        <v>5296</v>
      </c>
      <c r="C484" s="31" t="s">
        <v>5297</v>
      </c>
      <c r="D484" s="8" t="s">
        <v>1877</v>
      </c>
      <c r="E484" s="8" t="s">
        <v>4439</v>
      </c>
      <c r="F484" s="11" t="s">
        <v>24</v>
      </c>
      <c r="G484" s="11" t="s">
        <v>24</v>
      </c>
      <c r="H484" s="1"/>
      <c r="I484" s="1"/>
      <c r="J484" s="1"/>
    </row>
    <row r="485" spans="1:10" x14ac:dyDescent="0.25">
      <c r="A485" s="8" t="s">
        <v>4433</v>
      </c>
      <c r="B485" s="8" t="s">
        <v>5298</v>
      </c>
      <c r="C485" s="31" t="s">
        <v>5299</v>
      </c>
      <c r="D485" s="8" t="s">
        <v>1894</v>
      </c>
      <c r="E485" s="8" t="s">
        <v>4436</v>
      </c>
      <c r="F485" s="11" t="s">
        <v>24</v>
      </c>
      <c r="G485" s="11" t="s">
        <v>24</v>
      </c>
      <c r="H485" s="1"/>
      <c r="I485" s="1"/>
      <c r="J485" s="1"/>
    </row>
    <row r="486" spans="1:10" x14ac:dyDescent="0.25">
      <c r="A486" s="8" t="s">
        <v>4433</v>
      </c>
      <c r="B486" s="8" t="s">
        <v>5300</v>
      </c>
      <c r="C486" s="31">
        <v>9618</v>
      </c>
      <c r="D486" s="8" t="s">
        <v>1877</v>
      </c>
      <c r="E486" s="8" t="s">
        <v>4501</v>
      </c>
      <c r="F486" s="11" t="s">
        <v>24</v>
      </c>
      <c r="G486" s="11" t="s">
        <v>24</v>
      </c>
      <c r="H486" s="1"/>
      <c r="I486" s="1"/>
      <c r="J486" s="1"/>
    </row>
    <row r="487" spans="1:10" x14ac:dyDescent="0.25">
      <c r="A487" s="8" t="s">
        <v>4433</v>
      </c>
      <c r="B487" s="8" t="s">
        <v>5301</v>
      </c>
      <c r="C487" s="31" t="s">
        <v>5302</v>
      </c>
      <c r="D487" s="8" t="s">
        <v>1877</v>
      </c>
      <c r="E487" s="8" t="s">
        <v>4540</v>
      </c>
      <c r="F487" s="11" t="s">
        <v>24</v>
      </c>
      <c r="G487" s="11" t="s">
        <v>24</v>
      </c>
      <c r="H487" s="1"/>
      <c r="I487" s="1"/>
      <c r="J487" s="1"/>
    </row>
    <row r="488" spans="1:10" x14ac:dyDescent="0.25">
      <c r="A488" s="8" t="s">
        <v>4433</v>
      </c>
      <c r="B488" s="8" t="s">
        <v>5303</v>
      </c>
      <c r="C488" s="31" t="s">
        <v>5304</v>
      </c>
      <c r="D488" s="8" t="s">
        <v>1877</v>
      </c>
      <c r="E488" s="8" t="s">
        <v>4442</v>
      </c>
      <c r="F488" s="11" t="s">
        <v>24</v>
      </c>
      <c r="G488" s="11" t="s">
        <v>24</v>
      </c>
      <c r="H488" s="1"/>
      <c r="I488" s="1"/>
      <c r="J488" s="1"/>
    </row>
    <row r="489" spans="1:10" x14ac:dyDescent="0.25">
      <c r="A489" s="8" t="s">
        <v>4433</v>
      </c>
      <c r="B489" s="8" t="s">
        <v>5305</v>
      </c>
      <c r="C489" s="31" t="s">
        <v>5306</v>
      </c>
      <c r="D489" s="8" t="s">
        <v>1877</v>
      </c>
      <c r="E489" s="8" t="s">
        <v>4442</v>
      </c>
      <c r="F489" s="11" t="s">
        <v>24</v>
      </c>
      <c r="G489" s="11" t="s">
        <v>24</v>
      </c>
      <c r="H489" s="1"/>
      <c r="I489" s="1"/>
      <c r="J489" s="1"/>
    </row>
    <row r="490" spans="1:10" x14ac:dyDescent="0.25">
      <c r="A490" s="8" t="s">
        <v>4433</v>
      </c>
      <c r="B490" s="8" t="s">
        <v>5307</v>
      </c>
      <c r="C490" s="31" t="s">
        <v>5308</v>
      </c>
      <c r="D490" s="8" t="s">
        <v>1877</v>
      </c>
      <c r="E490" s="8" t="s">
        <v>4439</v>
      </c>
      <c r="F490" s="11" t="s">
        <v>24</v>
      </c>
      <c r="G490" s="11" t="s">
        <v>24</v>
      </c>
      <c r="H490" s="1"/>
      <c r="I490" s="1"/>
      <c r="J490" s="1"/>
    </row>
    <row r="491" spans="1:10" x14ac:dyDescent="0.25">
      <c r="A491" s="8" t="s">
        <v>4433</v>
      </c>
      <c r="B491" s="8" t="s">
        <v>5309</v>
      </c>
      <c r="C491" s="31" t="s">
        <v>5310</v>
      </c>
      <c r="D491" s="8" t="s">
        <v>1917</v>
      </c>
      <c r="E491" s="8" t="s">
        <v>4436</v>
      </c>
      <c r="F491" s="11" t="s">
        <v>195</v>
      </c>
      <c r="G491" s="11" t="s">
        <v>24</v>
      </c>
      <c r="H491" s="1"/>
      <c r="I491" s="1"/>
      <c r="J491" s="1"/>
    </row>
    <row r="492" spans="1:10" x14ac:dyDescent="0.25">
      <c r="A492" s="8" t="s">
        <v>4433</v>
      </c>
      <c r="B492" s="8" t="s">
        <v>5311</v>
      </c>
      <c r="C492" s="31" t="s">
        <v>5312</v>
      </c>
      <c r="D492" s="8" t="s">
        <v>1877</v>
      </c>
      <c r="E492" s="8" t="s">
        <v>4442</v>
      </c>
      <c r="F492" s="11" t="s">
        <v>24</v>
      </c>
      <c r="G492" s="11" t="s">
        <v>24</v>
      </c>
      <c r="H492" s="1"/>
      <c r="I492" s="1"/>
      <c r="J492" s="1"/>
    </row>
    <row r="493" spans="1:10" x14ac:dyDescent="0.25">
      <c r="A493" s="8" t="s">
        <v>4433</v>
      </c>
      <c r="B493" s="8" t="s">
        <v>5313</v>
      </c>
      <c r="C493" s="31" t="s">
        <v>5314</v>
      </c>
      <c r="D493" s="8" t="s">
        <v>1877</v>
      </c>
      <c r="E493" s="8" t="s">
        <v>4453</v>
      </c>
      <c r="F493" s="11" t="s">
        <v>24</v>
      </c>
      <c r="G493" s="11" t="s">
        <v>24</v>
      </c>
      <c r="H493" s="1"/>
      <c r="I493" s="1"/>
      <c r="J493" s="1"/>
    </row>
    <row r="494" spans="1:10" x14ac:dyDescent="0.25">
      <c r="A494" s="8" t="s">
        <v>4433</v>
      </c>
      <c r="B494" s="8" t="s">
        <v>5315</v>
      </c>
      <c r="C494" s="31" t="s">
        <v>5316</v>
      </c>
      <c r="D494" s="8" t="s">
        <v>1877</v>
      </c>
      <c r="E494" s="8" t="s">
        <v>4445</v>
      </c>
      <c r="F494" s="11" t="s">
        <v>24</v>
      </c>
      <c r="G494" s="11" t="s">
        <v>24</v>
      </c>
      <c r="H494" s="1"/>
      <c r="I494" s="1"/>
      <c r="J494" s="1"/>
    </row>
    <row r="495" spans="1:10" x14ac:dyDescent="0.25">
      <c r="A495" s="8" t="s">
        <v>4433</v>
      </c>
      <c r="B495" s="8" t="s">
        <v>5317</v>
      </c>
      <c r="C495" s="31" t="s">
        <v>5318</v>
      </c>
      <c r="D495" s="8" t="s">
        <v>1877</v>
      </c>
      <c r="E495" s="8" t="s">
        <v>4471</v>
      </c>
      <c r="F495" s="11" t="s">
        <v>24</v>
      </c>
      <c r="G495" s="11" t="s">
        <v>24</v>
      </c>
      <c r="H495" s="1"/>
      <c r="I495" s="1"/>
      <c r="J495" s="1"/>
    </row>
    <row r="496" spans="1:10" x14ac:dyDescent="0.25">
      <c r="A496" s="8" t="s">
        <v>4433</v>
      </c>
      <c r="B496" s="8" t="s">
        <v>5319</v>
      </c>
      <c r="C496" s="31" t="s">
        <v>5320</v>
      </c>
      <c r="D496" s="8" t="s">
        <v>1877</v>
      </c>
      <c r="E496" s="8" t="s">
        <v>4442</v>
      </c>
      <c r="F496" s="11" t="s">
        <v>195</v>
      </c>
      <c r="G496" s="11" t="s">
        <v>24</v>
      </c>
      <c r="H496" s="1"/>
      <c r="I496" s="1"/>
      <c r="J496" s="1"/>
    </row>
    <row r="497" spans="1:10" x14ac:dyDescent="0.25">
      <c r="A497" s="8" t="s">
        <v>4433</v>
      </c>
      <c r="B497" s="8" t="s">
        <v>5321</v>
      </c>
      <c r="C497" s="31" t="s">
        <v>5322</v>
      </c>
      <c r="D497" s="8" t="s">
        <v>1881</v>
      </c>
      <c r="E497" s="8" t="s">
        <v>4768</v>
      </c>
      <c r="F497" s="11" t="s">
        <v>24</v>
      </c>
      <c r="G497" s="11" t="s">
        <v>24</v>
      </c>
      <c r="H497" s="1"/>
      <c r="I497" s="1"/>
      <c r="J497" s="1"/>
    </row>
    <row r="498" spans="1:10" x14ac:dyDescent="0.25">
      <c r="A498" s="8" t="s">
        <v>4433</v>
      </c>
      <c r="B498" s="8" t="s">
        <v>5323</v>
      </c>
      <c r="C498" s="31" t="s">
        <v>5324</v>
      </c>
      <c r="D498" s="8" t="s">
        <v>1877</v>
      </c>
      <c r="E498" s="8" t="s">
        <v>4768</v>
      </c>
      <c r="F498" s="11" t="s">
        <v>24</v>
      </c>
      <c r="G498" s="11" t="s">
        <v>24</v>
      </c>
      <c r="H498" s="1"/>
      <c r="I498" s="1"/>
      <c r="J498" s="1"/>
    </row>
    <row r="499" spans="1:10" x14ac:dyDescent="0.25">
      <c r="A499" s="8" t="s">
        <v>4433</v>
      </c>
      <c r="B499" s="8" t="s">
        <v>5325</v>
      </c>
      <c r="C499" s="31" t="s">
        <v>5326</v>
      </c>
      <c r="D499" s="8" t="s">
        <v>1877</v>
      </c>
      <c r="E499" s="8" t="s">
        <v>4468</v>
      </c>
      <c r="F499" s="11" t="s">
        <v>24</v>
      </c>
      <c r="G499" s="11" t="s">
        <v>24</v>
      </c>
      <c r="H499" s="1"/>
      <c r="I499" s="1"/>
      <c r="J499" s="1"/>
    </row>
    <row r="500" spans="1:10" x14ac:dyDescent="0.25">
      <c r="A500" s="8" t="s">
        <v>4433</v>
      </c>
      <c r="B500" s="8" t="s">
        <v>5327</v>
      </c>
      <c r="C500" s="31" t="s">
        <v>5328</v>
      </c>
      <c r="D500" s="8" t="s">
        <v>1877</v>
      </c>
      <c r="E500" s="8" t="s">
        <v>4436</v>
      </c>
      <c r="F500" s="11" t="s">
        <v>24</v>
      </c>
      <c r="G500" s="11" t="s">
        <v>24</v>
      </c>
      <c r="H500" s="1"/>
      <c r="I500" s="1"/>
      <c r="J500" s="1"/>
    </row>
    <row r="501" spans="1:10" x14ac:dyDescent="0.25">
      <c r="A501" s="8" t="s">
        <v>4433</v>
      </c>
      <c r="B501" s="8" t="s">
        <v>5329</v>
      </c>
      <c r="C501" s="31" t="s">
        <v>5330</v>
      </c>
      <c r="D501" s="8" t="s">
        <v>1877</v>
      </c>
      <c r="E501" s="8" t="s">
        <v>4439</v>
      </c>
      <c r="F501" s="11" t="s">
        <v>24</v>
      </c>
      <c r="G501" s="11" t="s">
        <v>24</v>
      </c>
      <c r="H501" s="1"/>
      <c r="I501" s="1"/>
      <c r="J501" s="1"/>
    </row>
    <row r="502" spans="1:10" x14ac:dyDescent="0.25">
      <c r="A502" s="8" t="s">
        <v>4433</v>
      </c>
      <c r="B502" s="8" t="s">
        <v>5331</v>
      </c>
      <c r="C502" s="31" t="s">
        <v>5332</v>
      </c>
      <c r="D502" s="8" t="s">
        <v>1877</v>
      </c>
      <c r="E502" s="8" t="s">
        <v>4454</v>
      </c>
      <c r="F502" s="11" t="s">
        <v>24</v>
      </c>
      <c r="G502" s="11" t="s">
        <v>24</v>
      </c>
      <c r="H502" s="1"/>
      <c r="I502" s="1"/>
      <c r="J502" s="1"/>
    </row>
    <row r="503" spans="1:10" x14ac:dyDescent="0.25">
      <c r="A503" s="8" t="s">
        <v>4433</v>
      </c>
      <c r="B503" s="8" t="s">
        <v>5333</v>
      </c>
      <c r="C503" s="31" t="s">
        <v>5334</v>
      </c>
      <c r="D503" s="8" t="s">
        <v>1877</v>
      </c>
      <c r="E503" s="8" t="s">
        <v>4499</v>
      </c>
      <c r="F503" s="11" t="s">
        <v>24</v>
      </c>
      <c r="G503" s="11" t="s">
        <v>24</v>
      </c>
      <c r="H503" s="1"/>
      <c r="I503" s="1"/>
      <c r="J503" s="1"/>
    </row>
    <row r="504" spans="1:10" x14ac:dyDescent="0.25">
      <c r="A504" s="8" t="s">
        <v>4433</v>
      </c>
      <c r="B504" s="8" t="s">
        <v>5335</v>
      </c>
      <c r="C504" s="31" t="s">
        <v>5336</v>
      </c>
      <c r="D504" s="8" t="s">
        <v>1877</v>
      </c>
      <c r="E504" s="8" t="s">
        <v>4436</v>
      </c>
      <c r="F504" s="11" t="s">
        <v>24</v>
      </c>
      <c r="G504" s="11" t="s">
        <v>24</v>
      </c>
      <c r="H504" s="1"/>
      <c r="I504" s="1"/>
      <c r="J504" s="1"/>
    </row>
    <row r="505" spans="1:10" x14ac:dyDescent="0.25">
      <c r="A505" s="8" t="s">
        <v>4433</v>
      </c>
      <c r="B505" s="8" t="s">
        <v>5337</v>
      </c>
      <c r="C505" s="31" t="s">
        <v>5338</v>
      </c>
      <c r="D505" s="8" t="s">
        <v>1877</v>
      </c>
      <c r="E505" s="8" t="s">
        <v>4463</v>
      </c>
      <c r="F505" s="11" t="s">
        <v>24</v>
      </c>
      <c r="G505" s="11" t="s">
        <v>24</v>
      </c>
      <c r="H505" s="1"/>
      <c r="I505" s="1"/>
      <c r="J505" s="1"/>
    </row>
    <row r="506" spans="1:10" x14ac:dyDescent="0.25">
      <c r="A506" s="8" t="s">
        <v>4433</v>
      </c>
      <c r="B506" s="8" t="s">
        <v>5339</v>
      </c>
      <c r="C506" s="31" t="s">
        <v>5340</v>
      </c>
      <c r="D506" s="8" t="s">
        <v>1877</v>
      </c>
      <c r="E506" s="8" t="s">
        <v>4463</v>
      </c>
      <c r="F506" s="11" t="s">
        <v>24</v>
      </c>
      <c r="G506" s="11" t="s">
        <v>24</v>
      </c>
      <c r="H506" s="1"/>
      <c r="I506" s="1"/>
      <c r="J506" s="1"/>
    </row>
    <row r="507" spans="1:10" x14ac:dyDescent="0.25">
      <c r="A507" s="8" t="s">
        <v>4433</v>
      </c>
      <c r="B507" s="8" t="s">
        <v>5341</v>
      </c>
      <c r="C507" s="31" t="s">
        <v>5342</v>
      </c>
      <c r="D507" s="8" t="s">
        <v>1877</v>
      </c>
      <c r="E507" s="8" t="s">
        <v>4463</v>
      </c>
      <c r="F507" s="11" t="s">
        <v>24</v>
      </c>
      <c r="G507" s="11" t="s">
        <v>24</v>
      </c>
      <c r="H507" s="1"/>
      <c r="I507" s="1"/>
      <c r="J507" s="1"/>
    </row>
    <row r="508" spans="1:10" x14ac:dyDescent="0.25">
      <c r="A508" s="8" t="s">
        <v>4433</v>
      </c>
      <c r="B508" s="8" t="s">
        <v>5343</v>
      </c>
      <c r="C508" s="31" t="s">
        <v>5344</v>
      </c>
      <c r="D508" s="8" t="s">
        <v>1877</v>
      </c>
      <c r="E508" s="8" t="s">
        <v>4436</v>
      </c>
      <c r="F508" s="11" t="s">
        <v>24</v>
      </c>
      <c r="G508" s="11" t="s">
        <v>24</v>
      </c>
      <c r="H508" s="1"/>
      <c r="I508" s="1"/>
      <c r="J508" s="1"/>
    </row>
    <row r="509" spans="1:10" x14ac:dyDescent="0.25">
      <c r="A509" s="8" t="s">
        <v>4433</v>
      </c>
      <c r="B509" s="8" t="s">
        <v>5345</v>
      </c>
      <c r="C509" s="31" t="s">
        <v>5346</v>
      </c>
      <c r="D509" s="8" t="s">
        <v>1877</v>
      </c>
      <c r="E509" s="8" t="s">
        <v>4453</v>
      </c>
      <c r="F509" s="11" t="s">
        <v>24</v>
      </c>
      <c r="G509" s="11" t="s">
        <v>24</v>
      </c>
      <c r="H509" s="1"/>
      <c r="I509" s="1"/>
      <c r="J509" s="1"/>
    </row>
    <row r="510" spans="1:10" x14ac:dyDescent="0.25">
      <c r="A510" s="8" t="s">
        <v>4433</v>
      </c>
      <c r="B510" s="8" t="s">
        <v>5347</v>
      </c>
      <c r="C510" s="31" t="s">
        <v>5348</v>
      </c>
      <c r="D510" s="8" t="s">
        <v>1877</v>
      </c>
      <c r="E510" s="8" t="s">
        <v>4468</v>
      </c>
      <c r="F510" s="11" t="s">
        <v>24</v>
      </c>
      <c r="G510" s="11" t="s">
        <v>24</v>
      </c>
      <c r="H510" s="1"/>
      <c r="I510" s="1"/>
      <c r="J510" s="1"/>
    </row>
    <row r="511" spans="1:10" x14ac:dyDescent="0.25">
      <c r="A511" s="8" t="s">
        <v>4433</v>
      </c>
      <c r="B511" s="8" t="s">
        <v>5349</v>
      </c>
      <c r="C511" s="31" t="s">
        <v>5350</v>
      </c>
      <c r="D511" s="8" t="s">
        <v>1877</v>
      </c>
      <c r="E511" s="8" t="s">
        <v>4436</v>
      </c>
      <c r="F511" s="11" t="s">
        <v>24</v>
      </c>
      <c r="G511" s="11" t="s">
        <v>24</v>
      </c>
      <c r="H511" s="1"/>
      <c r="I511" s="1"/>
      <c r="J511" s="1"/>
    </row>
    <row r="512" spans="1:10" x14ac:dyDescent="0.25">
      <c r="A512" s="8" t="s">
        <v>4433</v>
      </c>
      <c r="B512" s="8" t="s">
        <v>5351</v>
      </c>
      <c r="C512" s="31" t="s">
        <v>5352</v>
      </c>
      <c r="D512" s="8" t="s">
        <v>1881</v>
      </c>
      <c r="E512" s="8" t="s">
        <v>4439</v>
      </c>
      <c r="F512" s="11" t="s">
        <v>24</v>
      </c>
      <c r="G512" s="11" t="s">
        <v>24</v>
      </c>
      <c r="H512" s="1"/>
      <c r="I512" s="1"/>
      <c r="J512" s="1"/>
    </row>
    <row r="513" spans="1:10" x14ac:dyDescent="0.25">
      <c r="A513" s="8" t="s">
        <v>4433</v>
      </c>
      <c r="B513" s="8" t="s">
        <v>5353</v>
      </c>
      <c r="C513" s="31" t="s">
        <v>5354</v>
      </c>
      <c r="D513" s="8" t="s">
        <v>1877</v>
      </c>
      <c r="E513" s="8" t="s">
        <v>4442</v>
      </c>
      <c r="F513" s="11" t="s">
        <v>24</v>
      </c>
      <c r="G513" s="11" t="s">
        <v>24</v>
      </c>
      <c r="H513" s="1"/>
      <c r="I513" s="1"/>
      <c r="J513" s="1"/>
    </row>
    <row r="514" spans="1:10" x14ac:dyDescent="0.25">
      <c r="A514" s="8" t="s">
        <v>4433</v>
      </c>
      <c r="B514" s="8" t="s">
        <v>5355</v>
      </c>
      <c r="C514" s="31" t="s">
        <v>5356</v>
      </c>
      <c r="D514" s="8" t="s">
        <v>1877</v>
      </c>
      <c r="E514" s="8" t="s">
        <v>4439</v>
      </c>
      <c r="F514" s="11" t="s">
        <v>24</v>
      </c>
      <c r="G514" s="11" t="s">
        <v>24</v>
      </c>
      <c r="H514" s="1"/>
      <c r="I514" s="1"/>
      <c r="J514" s="1"/>
    </row>
    <row r="515" spans="1:10" x14ac:dyDescent="0.25">
      <c r="A515" s="8" t="s">
        <v>4433</v>
      </c>
      <c r="B515" s="8" t="s">
        <v>5357</v>
      </c>
      <c r="C515" s="31" t="s">
        <v>5358</v>
      </c>
      <c r="D515" s="8" t="s">
        <v>1877</v>
      </c>
      <c r="E515" s="8" t="s">
        <v>4468</v>
      </c>
      <c r="F515" s="11" t="s">
        <v>24</v>
      </c>
      <c r="G515" s="11" t="s">
        <v>24</v>
      </c>
      <c r="H515" s="1"/>
      <c r="I515" s="1"/>
      <c r="J515" s="1"/>
    </row>
    <row r="516" spans="1:10" x14ac:dyDescent="0.25">
      <c r="A516" s="8" t="s">
        <v>4433</v>
      </c>
      <c r="B516" s="8" t="s">
        <v>5359</v>
      </c>
      <c r="C516" s="31">
        <v>992</v>
      </c>
      <c r="D516" s="8" t="s">
        <v>1877</v>
      </c>
      <c r="E516" s="8" t="s">
        <v>4501</v>
      </c>
      <c r="F516" s="11" t="s">
        <v>24</v>
      </c>
      <c r="G516" s="11" t="s">
        <v>24</v>
      </c>
      <c r="H516" s="1"/>
      <c r="I516" s="1"/>
      <c r="J516" s="1"/>
    </row>
    <row r="517" spans="1:10" x14ac:dyDescent="0.25">
      <c r="A517" s="8" t="s">
        <v>4433</v>
      </c>
      <c r="B517" s="8" t="s">
        <v>5360</v>
      </c>
      <c r="C517" s="31" t="s">
        <v>5361</v>
      </c>
      <c r="D517" s="8" t="s">
        <v>1877</v>
      </c>
      <c r="E517" s="8" t="s">
        <v>4450</v>
      </c>
      <c r="F517" s="11" t="s">
        <v>24</v>
      </c>
      <c r="G517" s="11" t="s">
        <v>24</v>
      </c>
      <c r="H517" s="1"/>
      <c r="I517" s="1"/>
      <c r="J517" s="1"/>
    </row>
    <row r="518" spans="1:10" x14ac:dyDescent="0.25">
      <c r="A518" s="8" t="s">
        <v>4433</v>
      </c>
      <c r="B518" s="8" t="s">
        <v>5362</v>
      </c>
      <c r="C518" s="31">
        <v>2331</v>
      </c>
      <c r="D518" s="8" t="s">
        <v>1877</v>
      </c>
      <c r="E518" s="8" t="s">
        <v>4501</v>
      </c>
      <c r="F518" s="11" t="s">
        <v>24</v>
      </c>
      <c r="G518" s="11" t="s">
        <v>24</v>
      </c>
      <c r="H518" s="1"/>
      <c r="I518" s="1"/>
      <c r="J518" s="1"/>
    </row>
    <row r="519" spans="1:10" x14ac:dyDescent="0.25">
      <c r="A519" s="8" t="s">
        <v>4433</v>
      </c>
      <c r="B519" s="8" t="s">
        <v>5363</v>
      </c>
      <c r="C519" s="31" t="s">
        <v>5364</v>
      </c>
      <c r="D519" s="8" t="s">
        <v>1877</v>
      </c>
      <c r="E519" s="8" t="s">
        <v>4436</v>
      </c>
      <c r="F519" s="11" t="s">
        <v>195</v>
      </c>
      <c r="G519" s="11" t="s">
        <v>24</v>
      </c>
      <c r="H519" s="1"/>
      <c r="I519" s="1"/>
      <c r="J519" s="1"/>
    </row>
    <row r="520" spans="1:10" x14ac:dyDescent="0.25">
      <c r="A520" s="8" t="s">
        <v>4433</v>
      </c>
      <c r="B520" s="8" t="s">
        <v>5365</v>
      </c>
      <c r="C520" s="31" t="s">
        <v>5366</v>
      </c>
      <c r="D520" s="8" t="s">
        <v>1877</v>
      </c>
      <c r="E520" s="8" t="s">
        <v>4436</v>
      </c>
      <c r="F520" s="11" t="s">
        <v>195</v>
      </c>
      <c r="G520" s="11" t="s">
        <v>24</v>
      </c>
      <c r="H520" s="1"/>
      <c r="I520" s="1"/>
      <c r="J520" s="1"/>
    </row>
    <row r="521" spans="1:10" x14ac:dyDescent="0.25">
      <c r="A521" s="8" t="s">
        <v>4433</v>
      </c>
      <c r="B521" s="8" t="s">
        <v>5367</v>
      </c>
      <c r="C521" s="31" t="s">
        <v>3325</v>
      </c>
      <c r="D521" s="8" t="s">
        <v>1877</v>
      </c>
      <c r="E521" s="8" t="s">
        <v>4436</v>
      </c>
      <c r="F521" s="11" t="s">
        <v>24</v>
      </c>
      <c r="G521" s="11" t="s">
        <v>24</v>
      </c>
      <c r="H521" s="1"/>
      <c r="I521" s="1"/>
      <c r="J521" s="1"/>
    </row>
    <row r="522" spans="1:10" x14ac:dyDescent="0.25">
      <c r="A522" s="8" t="s">
        <v>4433</v>
      </c>
      <c r="B522" s="8" t="s">
        <v>5368</v>
      </c>
      <c r="C522" s="31">
        <v>823</v>
      </c>
      <c r="D522" s="8" t="s">
        <v>1881</v>
      </c>
      <c r="E522" s="8" t="s">
        <v>4501</v>
      </c>
      <c r="F522" s="11" t="s">
        <v>24</v>
      </c>
      <c r="G522" s="11" t="s">
        <v>24</v>
      </c>
      <c r="H522" s="1"/>
      <c r="I522" s="1"/>
      <c r="J522" s="1"/>
    </row>
    <row r="523" spans="1:10" x14ac:dyDescent="0.25">
      <c r="A523" s="8" t="s">
        <v>4433</v>
      </c>
      <c r="B523" s="8" t="s">
        <v>5369</v>
      </c>
      <c r="C523" s="31" t="s">
        <v>5370</v>
      </c>
      <c r="D523" s="8" t="s">
        <v>1877</v>
      </c>
      <c r="E523" s="8" t="s">
        <v>4439</v>
      </c>
      <c r="F523" s="11" t="s">
        <v>24</v>
      </c>
      <c r="G523" s="11" t="s">
        <v>24</v>
      </c>
      <c r="H523" s="1"/>
      <c r="I523" s="1"/>
      <c r="J523" s="1"/>
    </row>
    <row r="524" spans="1:10" x14ac:dyDescent="0.25">
      <c r="A524" s="8" t="s">
        <v>4433</v>
      </c>
      <c r="B524" s="8" t="s">
        <v>5371</v>
      </c>
      <c r="C524" s="31" t="s">
        <v>5372</v>
      </c>
      <c r="D524" s="8" t="s">
        <v>1877</v>
      </c>
      <c r="E524" s="8" t="s">
        <v>4499</v>
      </c>
      <c r="F524" s="11" t="s">
        <v>24</v>
      </c>
      <c r="G524" s="11" t="s">
        <v>24</v>
      </c>
      <c r="H524" s="1"/>
      <c r="I524" s="1"/>
      <c r="J524" s="1"/>
    </row>
    <row r="525" spans="1:10" x14ac:dyDescent="0.25">
      <c r="A525" s="8" t="s">
        <v>4433</v>
      </c>
      <c r="B525" s="8" t="s">
        <v>5373</v>
      </c>
      <c r="C525" s="31" t="s">
        <v>5374</v>
      </c>
      <c r="D525" s="8" t="s">
        <v>1877</v>
      </c>
      <c r="E525" s="8" t="s">
        <v>4442</v>
      </c>
      <c r="F525" s="11" t="s">
        <v>24</v>
      </c>
      <c r="G525" s="11" t="s">
        <v>24</v>
      </c>
      <c r="H525" s="1"/>
      <c r="I525" s="1"/>
      <c r="J525" s="1"/>
    </row>
    <row r="526" spans="1:10" x14ac:dyDescent="0.25">
      <c r="A526" s="8" t="s">
        <v>4433</v>
      </c>
      <c r="B526" s="8" t="s">
        <v>5375</v>
      </c>
      <c r="C526" s="31" t="s">
        <v>5376</v>
      </c>
      <c r="D526" s="8" t="s">
        <v>1877</v>
      </c>
      <c r="E526" s="8" t="s">
        <v>4453</v>
      </c>
      <c r="F526" s="11" t="s">
        <v>24</v>
      </c>
      <c r="G526" s="11" t="s">
        <v>24</v>
      </c>
      <c r="H526" s="1"/>
      <c r="I526" s="1"/>
      <c r="J526" s="1"/>
    </row>
    <row r="527" spans="1:10" x14ac:dyDescent="0.25">
      <c r="A527" s="8" t="s">
        <v>4433</v>
      </c>
      <c r="B527" s="8" t="s">
        <v>5377</v>
      </c>
      <c r="C527" s="31" t="s">
        <v>5378</v>
      </c>
      <c r="D527" s="8" t="s">
        <v>1877</v>
      </c>
      <c r="E527" s="8" t="s">
        <v>4439</v>
      </c>
      <c r="F527" s="11" t="s">
        <v>24</v>
      </c>
      <c r="G527" s="11" t="s">
        <v>24</v>
      </c>
      <c r="H527" s="1"/>
      <c r="I527" s="1"/>
      <c r="J527" s="1"/>
    </row>
    <row r="528" spans="1:10" x14ac:dyDescent="0.25">
      <c r="A528" s="8" t="s">
        <v>4433</v>
      </c>
      <c r="B528" s="8" t="s">
        <v>5379</v>
      </c>
      <c r="C528" s="31">
        <v>960</v>
      </c>
      <c r="D528" s="8" t="s">
        <v>1877</v>
      </c>
      <c r="E528" s="8" t="s">
        <v>4501</v>
      </c>
      <c r="F528" s="11" t="s">
        <v>24</v>
      </c>
      <c r="G528" s="11" t="s">
        <v>24</v>
      </c>
      <c r="H528" s="1"/>
      <c r="I528" s="1"/>
      <c r="J528" s="1"/>
    </row>
    <row r="529" spans="1:10" x14ac:dyDescent="0.25">
      <c r="A529" s="8" t="s">
        <v>4433</v>
      </c>
      <c r="B529" s="8" t="s">
        <v>5380</v>
      </c>
      <c r="C529" s="31" t="s">
        <v>5381</v>
      </c>
      <c r="D529" s="8" t="s">
        <v>1877</v>
      </c>
      <c r="E529" s="8" t="s">
        <v>4453</v>
      </c>
      <c r="F529" s="11" t="s">
        <v>24</v>
      </c>
      <c r="G529" s="11" t="s">
        <v>24</v>
      </c>
      <c r="H529" s="1"/>
      <c r="I529" s="1"/>
      <c r="J529" s="1"/>
    </row>
    <row r="530" spans="1:10" x14ac:dyDescent="0.25">
      <c r="A530" s="8" t="s">
        <v>4433</v>
      </c>
      <c r="B530" s="8" t="s">
        <v>5382</v>
      </c>
      <c r="C530" s="31" t="s">
        <v>5383</v>
      </c>
      <c r="D530" s="8" t="s">
        <v>1877</v>
      </c>
      <c r="E530" s="8" t="s">
        <v>4442</v>
      </c>
      <c r="F530" s="11" t="s">
        <v>24</v>
      </c>
      <c r="G530" s="11" t="s">
        <v>24</v>
      </c>
      <c r="H530" s="1"/>
      <c r="I530" s="1"/>
      <c r="J530" s="1"/>
    </row>
    <row r="531" spans="1:10" x14ac:dyDescent="0.25">
      <c r="A531" s="8" t="s">
        <v>4433</v>
      </c>
      <c r="B531" s="8" t="s">
        <v>5384</v>
      </c>
      <c r="C531" s="31" t="s">
        <v>5385</v>
      </c>
      <c r="D531" s="8" t="s">
        <v>1877</v>
      </c>
      <c r="E531" s="8" t="s">
        <v>4436</v>
      </c>
      <c r="F531" s="11" t="s">
        <v>195</v>
      </c>
      <c r="G531" s="11" t="s">
        <v>24</v>
      </c>
      <c r="H531" s="1"/>
      <c r="I531" s="1"/>
      <c r="J531" s="1"/>
    </row>
    <row r="532" spans="1:10" x14ac:dyDescent="0.25">
      <c r="A532" s="8" t="s">
        <v>4433</v>
      </c>
      <c r="B532" s="8" t="s">
        <v>5386</v>
      </c>
      <c r="C532" s="31" t="s">
        <v>5387</v>
      </c>
      <c r="D532" s="8" t="s">
        <v>1877</v>
      </c>
      <c r="E532" s="8" t="s">
        <v>4436</v>
      </c>
      <c r="F532" s="11" t="s">
        <v>24</v>
      </c>
      <c r="G532" s="11" t="s">
        <v>24</v>
      </c>
      <c r="H532" s="1"/>
      <c r="I532" s="1"/>
      <c r="J532" s="1"/>
    </row>
    <row r="533" spans="1:10" x14ac:dyDescent="0.25">
      <c r="A533" s="8" t="s">
        <v>4433</v>
      </c>
      <c r="B533" s="8" t="s">
        <v>5388</v>
      </c>
      <c r="C533" s="31" t="s">
        <v>5389</v>
      </c>
      <c r="D533" s="8" t="s">
        <v>1877</v>
      </c>
      <c r="E533" s="8" t="s">
        <v>4436</v>
      </c>
      <c r="F533" s="11" t="s">
        <v>24</v>
      </c>
      <c r="G533" s="11" t="s">
        <v>24</v>
      </c>
      <c r="H533" s="1"/>
      <c r="I533" s="1"/>
      <c r="J533" s="1"/>
    </row>
    <row r="534" spans="1:10" x14ac:dyDescent="0.25">
      <c r="A534" s="8" t="s">
        <v>4433</v>
      </c>
      <c r="B534" s="8" t="s">
        <v>5390</v>
      </c>
      <c r="C534" s="31" t="s">
        <v>5391</v>
      </c>
      <c r="D534" s="8" t="s">
        <v>1877</v>
      </c>
      <c r="E534" s="8" t="s">
        <v>4468</v>
      </c>
      <c r="F534" s="11" t="s">
        <v>24</v>
      </c>
      <c r="G534" s="11" t="s">
        <v>24</v>
      </c>
      <c r="H534" s="1"/>
      <c r="I534" s="1"/>
      <c r="J534" s="1"/>
    </row>
    <row r="535" spans="1:10" x14ac:dyDescent="0.25">
      <c r="A535" s="8" t="s">
        <v>4433</v>
      </c>
      <c r="B535" s="8" t="s">
        <v>5392</v>
      </c>
      <c r="C535" s="31" t="s">
        <v>5393</v>
      </c>
      <c r="D535" s="8" t="s">
        <v>1877</v>
      </c>
      <c r="E535" s="8" t="s">
        <v>4439</v>
      </c>
      <c r="F535" s="11" t="s">
        <v>24</v>
      </c>
      <c r="G535" s="11" t="s">
        <v>24</v>
      </c>
      <c r="H535" s="1"/>
      <c r="I535" s="1"/>
      <c r="J535" s="1"/>
    </row>
    <row r="536" spans="1:10" x14ac:dyDescent="0.25">
      <c r="A536" s="8" t="s">
        <v>4433</v>
      </c>
      <c r="B536" s="8" t="s">
        <v>5394</v>
      </c>
      <c r="C536" s="31" t="s">
        <v>5395</v>
      </c>
      <c r="D536" s="8" t="s">
        <v>1877</v>
      </c>
      <c r="E536" s="8" t="s">
        <v>4499</v>
      </c>
      <c r="F536" s="11" t="s">
        <v>24</v>
      </c>
      <c r="G536" s="11" t="s">
        <v>24</v>
      </c>
      <c r="H536" s="1"/>
      <c r="I536" s="1"/>
      <c r="J536" s="1"/>
    </row>
    <row r="537" spans="1:10" x14ac:dyDescent="0.25">
      <c r="A537" s="8" t="s">
        <v>4433</v>
      </c>
      <c r="B537" s="8" t="s">
        <v>5396</v>
      </c>
      <c r="C537" s="31" t="s">
        <v>5397</v>
      </c>
      <c r="D537" s="8" t="s">
        <v>1877</v>
      </c>
      <c r="E537" s="8" t="s">
        <v>4499</v>
      </c>
      <c r="F537" s="11" t="s">
        <v>24</v>
      </c>
      <c r="G537" s="11" t="s">
        <v>24</v>
      </c>
      <c r="H537" s="1"/>
      <c r="I537" s="1"/>
      <c r="J537" s="1"/>
    </row>
    <row r="538" spans="1:10" x14ac:dyDescent="0.25">
      <c r="A538" s="8" t="s">
        <v>4433</v>
      </c>
      <c r="B538" s="8" t="s">
        <v>5398</v>
      </c>
      <c r="C538" s="31" t="s">
        <v>5399</v>
      </c>
      <c r="D538" s="8" t="s">
        <v>1881</v>
      </c>
      <c r="E538" s="8" t="s">
        <v>4768</v>
      </c>
      <c r="F538" s="11" t="s">
        <v>24</v>
      </c>
      <c r="G538" s="11" t="s">
        <v>24</v>
      </c>
      <c r="H538" s="1"/>
      <c r="I538" s="1"/>
      <c r="J538" s="1"/>
    </row>
    <row r="539" spans="1:10" x14ac:dyDescent="0.25">
      <c r="A539" s="8" t="s">
        <v>4433</v>
      </c>
      <c r="B539" s="8" t="s">
        <v>5400</v>
      </c>
      <c r="C539" s="31" t="s">
        <v>5401</v>
      </c>
      <c r="D539" s="8" t="s">
        <v>1881</v>
      </c>
      <c r="E539" s="8" t="s">
        <v>4768</v>
      </c>
      <c r="F539" s="11" t="s">
        <v>24</v>
      </c>
      <c r="G539" s="11" t="s">
        <v>24</v>
      </c>
      <c r="H539" s="1"/>
      <c r="I539" s="1"/>
      <c r="J539" s="1"/>
    </row>
    <row r="540" spans="1:10" ht="30" x14ac:dyDescent="0.25">
      <c r="A540" s="8" t="s">
        <v>4433</v>
      </c>
      <c r="B540" s="8" t="s">
        <v>5402</v>
      </c>
      <c r="C540" s="31" t="s">
        <v>5403</v>
      </c>
      <c r="D540" s="8" t="s">
        <v>1881</v>
      </c>
      <c r="E540" s="8" t="s">
        <v>4768</v>
      </c>
      <c r="F540" s="11" t="s">
        <v>24</v>
      </c>
      <c r="G540" s="11" t="s">
        <v>24</v>
      </c>
      <c r="H540" s="1"/>
      <c r="I540" s="1"/>
      <c r="J540" s="1"/>
    </row>
    <row r="541" spans="1:10" x14ac:dyDescent="0.25">
      <c r="A541" s="8" t="s">
        <v>4433</v>
      </c>
      <c r="B541" s="8" t="s">
        <v>5404</v>
      </c>
      <c r="C541" s="31" t="s">
        <v>5405</v>
      </c>
      <c r="D541" s="8" t="s">
        <v>1877</v>
      </c>
      <c r="E541" s="8" t="s">
        <v>4436</v>
      </c>
      <c r="F541" s="11" t="s">
        <v>24</v>
      </c>
      <c r="G541" s="11" t="s">
        <v>24</v>
      </c>
      <c r="H541" s="1"/>
      <c r="I541" s="1"/>
      <c r="J541" s="1"/>
    </row>
    <row r="542" spans="1:10" x14ac:dyDescent="0.25">
      <c r="A542" s="8" t="s">
        <v>4433</v>
      </c>
      <c r="B542" s="8" t="s">
        <v>5406</v>
      </c>
      <c r="C542" s="31" t="s">
        <v>5407</v>
      </c>
      <c r="D542" s="8" t="s">
        <v>1877</v>
      </c>
      <c r="E542" s="8" t="s">
        <v>4436</v>
      </c>
      <c r="F542" s="11" t="s">
        <v>24</v>
      </c>
      <c r="G542" s="11" t="s">
        <v>24</v>
      </c>
      <c r="H542" s="1"/>
      <c r="I542" s="1"/>
      <c r="J542" s="1"/>
    </row>
    <row r="543" spans="1:10" x14ac:dyDescent="0.25">
      <c r="A543" s="8" t="s">
        <v>4433</v>
      </c>
      <c r="B543" s="8" t="s">
        <v>5408</v>
      </c>
      <c r="C543" s="31" t="s">
        <v>5409</v>
      </c>
      <c r="D543" s="8" t="s">
        <v>1877</v>
      </c>
      <c r="E543" s="8" t="s">
        <v>4436</v>
      </c>
      <c r="F543" s="11" t="s">
        <v>24</v>
      </c>
      <c r="G543" s="11" t="s">
        <v>24</v>
      </c>
      <c r="H543" s="1"/>
      <c r="I543" s="1"/>
      <c r="J543" s="1"/>
    </row>
    <row r="544" spans="1:10" x14ac:dyDescent="0.25">
      <c r="A544" s="8" t="s">
        <v>4433</v>
      </c>
      <c r="B544" s="8" t="s">
        <v>5410</v>
      </c>
      <c r="C544" s="31" t="s">
        <v>5411</v>
      </c>
      <c r="D544" s="8" t="s">
        <v>1877</v>
      </c>
      <c r="E544" s="8" t="s">
        <v>4442</v>
      </c>
      <c r="F544" s="11" t="s">
        <v>24</v>
      </c>
      <c r="G544" s="11" t="s">
        <v>24</v>
      </c>
      <c r="H544" s="1"/>
      <c r="I544" s="1"/>
      <c r="J544" s="1"/>
    </row>
    <row r="545" spans="1:10" x14ac:dyDescent="0.25">
      <c r="A545" s="8" t="s">
        <v>4433</v>
      </c>
      <c r="B545" s="8" t="s">
        <v>5412</v>
      </c>
      <c r="C545" s="31" t="s">
        <v>5413</v>
      </c>
      <c r="D545" s="8" t="s">
        <v>1877</v>
      </c>
      <c r="E545" s="8" t="s">
        <v>4442</v>
      </c>
      <c r="F545" s="11" t="s">
        <v>24</v>
      </c>
      <c r="G545" s="11" t="s">
        <v>24</v>
      </c>
      <c r="H545" s="1"/>
      <c r="I545" s="1"/>
      <c r="J545" s="1"/>
    </row>
    <row r="546" spans="1:10" x14ac:dyDescent="0.25">
      <c r="A546" s="8" t="s">
        <v>4433</v>
      </c>
      <c r="B546" s="8" t="s">
        <v>5414</v>
      </c>
      <c r="C546" s="31" t="s">
        <v>5415</v>
      </c>
      <c r="D546" s="8" t="s">
        <v>1877</v>
      </c>
      <c r="E546" s="8" t="s">
        <v>4442</v>
      </c>
      <c r="F546" s="11" t="s">
        <v>195</v>
      </c>
      <c r="G546" s="11" t="s">
        <v>24</v>
      </c>
      <c r="H546" s="1"/>
      <c r="I546" s="1"/>
      <c r="J546" s="1"/>
    </row>
    <row r="547" spans="1:10" x14ac:dyDescent="0.25">
      <c r="A547" s="8" t="s">
        <v>4433</v>
      </c>
      <c r="B547" s="8" t="s">
        <v>5416</v>
      </c>
      <c r="C547" s="31" t="s">
        <v>5417</v>
      </c>
      <c r="D547" s="8" t="s">
        <v>1877</v>
      </c>
      <c r="E547" s="8" t="s">
        <v>4450</v>
      </c>
      <c r="F547" s="11" t="s">
        <v>24</v>
      </c>
      <c r="G547" s="11" t="s">
        <v>24</v>
      </c>
      <c r="H547" s="1"/>
      <c r="I547" s="1"/>
      <c r="J547" s="1"/>
    </row>
    <row r="548" spans="1:10" x14ac:dyDescent="0.25">
      <c r="A548" s="8" t="s">
        <v>4433</v>
      </c>
      <c r="B548" s="8" t="s">
        <v>5418</v>
      </c>
      <c r="C548" s="31" t="s">
        <v>5419</v>
      </c>
      <c r="D548" s="8" t="s">
        <v>1877</v>
      </c>
      <c r="E548" s="8" t="s">
        <v>4442</v>
      </c>
      <c r="F548" s="11" t="s">
        <v>24</v>
      </c>
      <c r="G548" s="11" t="s">
        <v>24</v>
      </c>
      <c r="H548" s="1"/>
      <c r="I548" s="1"/>
      <c r="J548" s="1"/>
    </row>
    <row r="549" spans="1:10" x14ac:dyDescent="0.25">
      <c r="A549" s="8" t="s">
        <v>4433</v>
      </c>
      <c r="B549" s="8" t="s">
        <v>5420</v>
      </c>
      <c r="C549" s="31">
        <v>3690</v>
      </c>
      <c r="D549" s="8" t="s">
        <v>1877</v>
      </c>
      <c r="E549" s="8" t="s">
        <v>4501</v>
      </c>
      <c r="F549" s="11" t="s">
        <v>24</v>
      </c>
      <c r="G549" s="11" t="s">
        <v>24</v>
      </c>
      <c r="H549" s="1"/>
      <c r="I549" s="1"/>
      <c r="J549" s="1"/>
    </row>
    <row r="550" spans="1:10" x14ac:dyDescent="0.25">
      <c r="A550" s="8" t="s">
        <v>4433</v>
      </c>
      <c r="B550" s="8" t="s">
        <v>5421</v>
      </c>
      <c r="C550" s="31" t="s">
        <v>5422</v>
      </c>
      <c r="D550" s="8" t="s">
        <v>1877</v>
      </c>
      <c r="E550" s="8" t="s">
        <v>4471</v>
      </c>
      <c r="F550" s="11" t="s">
        <v>24</v>
      </c>
      <c r="G550" s="11" t="s">
        <v>24</v>
      </c>
      <c r="H550" s="1"/>
      <c r="I550" s="1"/>
      <c r="J550" s="1"/>
    </row>
    <row r="551" spans="1:10" x14ac:dyDescent="0.25">
      <c r="A551" s="8" t="s">
        <v>4433</v>
      </c>
      <c r="B551" s="8" t="s">
        <v>5423</v>
      </c>
      <c r="C551" s="31" t="s">
        <v>5424</v>
      </c>
      <c r="D551" s="8" t="s">
        <v>1877</v>
      </c>
      <c r="E551" s="8" t="s">
        <v>4439</v>
      </c>
      <c r="F551" s="11" t="s">
        <v>24</v>
      </c>
      <c r="G551" s="11" t="s">
        <v>24</v>
      </c>
      <c r="H551" s="1"/>
      <c r="I551" s="1"/>
      <c r="J551" s="1"/>
    </row>
    <row r="552" spans="1:10" x14ac:dyDescent="0.25">
      <c r="A552" s="8" t="s">
        <v>4433</v>
      </c>
      <c r="B552" s="8" t="s">
        <v>5425</v>
      </c>
      <c r="C552" s="31" t="s">
        <v>5426</v>
      </c>
      <c r="D552" s="8" t="s">
        <v>1877</v>
      </c>
      <c r="E552" s="8" t="s">
        <v>4436</v>
      </c>
      <c r="F552" s="11" t="s">
        <v>24</v>
      </c>
      <c r="G552" s="11" t="s">
        <v>24</v>
      </c>
      <c r="H552" s="1"/>
      <c r="I552" s="1"/>
      <c r="J552" s="1"/>
    </row>
    <row r="553" spans="1:10" x14ac:dyDescent="0.25">
      <c r="A553" s="8" t="s">
        <v>4433</v>
      </c>
      <c r="B553" s="8" t="s">
        <v>5427</v>
      </c>
      <c r="C553" s="31" t="s">
        <v>5428</v>
      </c>
      <c r="D553" s="8" t="s">
        <v>1877</v>
      </c>
      <c r="E553" s="8" t="s">
        <v>4473</v>
      </c>
      <c r="F553" s="11" t="s">
        <v>24</v>
      </c>
      <c r="G553" s="11" t="s">
        <v>24</v>
      </c>
      <c r="H553" s="1"/>
      <c r="I553" s="1"/>
      <c r="J553" s="1"/>
    </row>
    <row r="554" spans="1:10" x14ac:dyDescent="0.25">
      <c r="A554" s="8" t="s">
        <v>4433</v>
      </c>
      <c r="B554" s="8" t="s">
        <v>5429</v>
      </c>
      <c r="C554" s="31" t="s">
        <v>5430</v>
      </c>
      <c r="D554" s="8" t="s">
        <v>1877</v>
      </c>
      <c r="E554" s="8" t="s">
        <v>4442</v>
      </c>
      <c r="F554" s="11" t="s">
        <v>24</v>
      </c>
      <c r="G554" s="11" t="s">
        <v>24</v>
      </c>
      <c r="H554" s="1"/>
      <c r="I554" s="1"/>
      <c r="J554" s="1"/>
    </row>
    <row r="555" spans="1:10" x14ac:dyDescent="0.25">
      <c r="A555" s="8" t="s">
        <v>4433</v>
      </c>
      <c r="B555" s="8" t="s">
        <v>5431</v>
      </c>
      <c r="C555" s="31" t="s">
        <v>5430</v>
      </c>
      <c r="D555" s="8" t="s">
        <v>1877</v>
      </c>
      <c r="E555" s="8" t="s">
        <v>4473</v>
      </c>
      <c r="F555" s="11" t="s">
        <v>24</v>
      </c>
      <c r="G555" s="11" t="s">
        <v>24</v>
      </c>
      <c r="H555" s="1"/>
      <c r="I555" s="1"/>
      <c r="J555" s="1"/>
    </row>
    <row r="556" spans="1:10" x14ac:dyDescent="0.25">
      <c r="A556" s="8" t="s">
        <v>4433</v>
      </c>
      <c r="B556" s="8" t="s">
        <v>5432</v>
      </c>
      <c r="C556" s="31" t="s">
        <v>5433</v>
      </c>
      <c r="D556" s="8" t="s">
        <v>1877</v>
      </c>
      <c r="E556" s="8" t="s">
        <v>4436</v>
      </c>
      <c r="F556" s="11" t="s">
        <v>24</v>
      </c>
      <c r="G556" s="11" t="s">
        <v>24</v>
      </c>
      <c r="H556" s="1"/>
      <c r="I556" s="1"/>
      <c r="J556" s="1"/>
    </row>
    <row r="557" spans="1:10" x14ac:dyDescent="0.25">
      <c r="A557" s="8" t="s">
        <v>4433</v>
      </c>
      <c r="B557" s="8" t="s">
        <v>5434</v>
      </c>
      <c r="C557" s="31" t="s">
        <v>5435</v>
      </c>
      <c r="D557" s="8" t="s">
        <v>1877</v>
      </c>
      <c r="E557" s="8" t="s">
        <v>4442</v>
      </c>
      <c r="F557" s="11" t="s">
        <v>24</v>
      </c>
      <c r="G557" s="11" t="s">
        <v>24</v>
      </c>
      <c r="H557" s="1"/>
      <c r="I557" s="1"/>
      <c r="J557" s="1"/>
    </row>
    <row r="558" spans="1:10" x14ac:dyDescent="0.25">
      <c r="A558" s="8" t="s">
        <v>4433</v>
      </c>
      <c r="B558" s="8" t="s">
        <v>5436</v>
      </c>
      <c r="C558" s="31" t="s">
        <v>5437</v>
      </c>
      <c r="D558" s="8" t="s">
        <v>1877</v>
      </c>
      <c r="E558" s="8" t="s">
        <v>4499</v>
      </c>
      <c r="F558" s="11" t="s">
        <v>24</v>
      </c>
      <c r="G558" s="11" t="s">
        <v>24</v>
      </c>
      <c r="H558" s="1"/>
      <c r="I558" s="1"/>
      <c r="J558" s="1"/>
    </row>
    <row r="559" spans="1:10" x14ac:dyDescent="0.25">
      <c r="A559" s="8" t="s">
        <v>4433</v>
      </c>
      <c r="B559" s="8" t="s">
        <v>5438</v>
      </c>
      <c r="C559" s="31" t="s">
        <v>5439</v>
      </c>
      <c r="D559" s="8" t="s">
        <v>1877</v>
      </c>
      <c r="E559" s="8" t="s">
        <v>4468</v>
      </c>
      <c r="F559" s="11" t="s">
        <v>24</v>
      </c>
      <c r="G559" s="11" t="s">
        <v>24</v>
      </c>
      <c r="H559" s="1"/>
      <c r="I559" s="1"/>
      <c r="J559" s="1"/>
    </row>
    <row r="560" spans="1:10" x14ac:dyDescent="0.25">
      <c r="A560" s="8" t="s">
        <v>4433</v>
      </c>
      <c r="B560" s="8" t="s">
        <v>5440</v>
      </c>
      <c r="C560" s="31" t="s">
        <v>5441</v>
      </c>
      <c r="D560" s="8" t="s">
        <v>1877</v>
      </c>
      <c r="E560" s="8" t="s">
        <v>4436</v>
      </c>
      <c r="F560" s="11" t="s">
        <v>24</v>
      </c>
      <c r="G560" s="11" t="s">
        <v>24</v>
      </c>
      <c r="H560" s="1"/>
      <c r="I560" s="1"/>
      <c r="J560" s="1"/>
    </row>
    <row r="561" spans="1:10" x14ac:dyDescent="0.25">
      <c r="A561" s="8" t="s">
        <v>4433</v>
      </c>
      <c r="B561" s="8" t="s">
        <v>5442</v>
      </c>
      <c r="C561" s="31" t="s">
        <v>5443</v>
      </c>
      <c r="D561" s="8" t="s">
        <v>1877</v>
      </c>
      <c r="E561" s="8" t="s">
        <v>4436</v>
      </c>
      <c r="F561" s="11" t="s">
        <v>24</v>
      </c>
      <c r="G561" s="11" t="s">
        <v>24</v>
      </c>
      <c r="H561" s="1"/>
      <c r="I561" s="1"/>
      <c r="J561" s="1"/>
    </row>
    <row r="562" spans="1:10" x14ac:dyDescent="0.25">
      <c r="A562" s="8" t="s">
        <v>4433</v>
      </c>
      <c r="B562" s="8" t="s">
        <v>5444</v>
      </c>
      <c r="C562" s="31" t="s">
        <v>5445</v>
      </c>
      <c r="D562" s="8" t="s">
        <v>1877</v>
      </c>
      <c r="E562" s="8" t="s">
        <v>4436</v>
      </c>
      <c r="F562" s="11" t="s">
        <v>24</v>
      </c>
      <c r="G562" s="11" t="s">
        <v>24</v>
      </c>
      <c r="H562" s="1"/>
      <c r="I562" s="1"/>
      <c r="J562" s="1"/>
    </row>
    <row r="563" spans="1:10" x14ac:dyDescent="0.25">
      <c r="A563" s="8" t="s">
        <v>4433</v>
      </c>
      <c r="B563" s="8" t="s">
        <v>5446</v>
      </c>
      <c r="C563" s="31" t="s">
        <v>5447</v>
      </c>
      <c r="D563" s="8" t="s">
        <v>1877</v>
      </c>
      <c r="E563" s="8" t="s">
        <v>4436</v>
      </c>
      <c r="F563" s="11" t="s">
        <v>24</v>
      </c>
      <c r="G563" s="11" t="s">
        <v>24</v>
      </c>
      <c r="H563" s="1"/>
      <c r="I563" s="1"/>
      <c r="J563" s="1"/>
    </row>
    <row r="564" spans="1:10" x14ac:dyDescent="0.25">
      <c r="A564" s="8" t="s">
        <v>4433</v>
      </c>
      <c r="B564" s="8" t="s">
        <v>5448</v>
      </c>
      <c r="C564" s="31" t="s">
        <v>5449</v>
      </c>
      <c r="D564" s="8" t="s">
        <v>1877</v>
      </c>
      <c r="E564" s="8" t="s">
        <v>4450</v>
      </c>
      <c r="F564" s="11" t="s">
        <v>24</v>
      </c>
      <c r="G564" s="11" t="s">
        <v>24</v>
      </c>
      <c r="H564" s="1"/>
      <c r="I564" s="1"/>
      <c r="J564" s="1"/>
    </row>
    <row r="565" spans="1:10" x14ac:dyDescent="0.25">
      <c r="A565" s="8" t="s">
        <v>4433</v>
      </c>
      <c r="B565" s="8" t="s">
        <v>5450</v>
      </c>
      <c r="C565" s="31" t="s">
        <v>5451</v>
      </c>
      <c r="D565" s="8" t="s">
        <v>1877</v>
      </c>
      <c r="E565" s="8" t="s">
        <v>4436</v>
      </c>
      <c r="F565" s="11" t="s">
        <v>24</v>
      </c>
      <c r="G565" s="11" t="s">
        <v>24</v>
      </c>
      <c r="H565" s="1"/>
      <c r="I565" s="1"/>
      <c r="J565" s="1"/>
    </row>
    <row r="566" spans="1:10" x14ac:dyDescent="0.25">
      <c r="A566" s="8" t="s">
        <v>4433</v>
      </c>
      <c r="B566" s="8" t="s">
        <v>5452</v>
      </c>
      <c r="C566" s="31" t="s">
        <v>5453</v>
      </c>
      <c r="D566" s="8" t="s">
        <v>1877</v>
      </c>
      <c r="E566" s="8" t="s">
        <v>4439</v>
      </c>
      <c r="F566" s="11" t="s">
        <v>24</v>
      </c>
      <c r="G566" s="11" t="s">
        <v>24</v>
      </c>
      <c r="H566" s="1"/>
      <c r="I566" s="1"/>
      <c r="J566" s="1"/>
    </row>
    <row r="567" spans="1:10" x14ac:dyDescent="0.25">
      <c r="A567" s="8" t="s">
        <v>4433</v>
      </c>
      <c r="B567" s="8" t="s">
        <v>5454</v>
      </c>
      <c r="C567" s="31" t="s">
        <v>5455</v>
      </c>
      <c r="D567" s="8" t="s">
        <v>1877</v>
      </c>
      <c r="E567" s="8" t="s">
        <v>4436</v>
      </c>
      <c r="F567" s="11" t="s">
        <v>24</v>
      </c>
      <c r="G567" s="11" t="s">
        <v>24</v>
      </c>
      <c r="H567" s="1"/>
      <c r="I567" s="1"/>
      <c r="J567" s="1"/>
    </row>
    <row r="568" spans="1:10" x14ac:dyDescent="0.25">
      <c r="A568" s="8" t="s">
        <v>4433</v>
      </c>
      <c r="B568" s="8" t="s">
        <v>5456</v>
      </c>
      <c r="C568" s="31" t="s">
        <v>5457</v>
      </c>
      <c r="D568" s="8" t="s">
        <v>1881</v>
      </c>
      <c r="E568" s="8" t="s">
        <v>4471</v>
      </c>
      <c r="F568" s="11" t="s">
        <v>195</v>
      </c>
      <c r="G568" s="11" t="s">
        <v>24</v>
      </c>
      <c r="H568" s="1"/>
      <c r="I568" s="1"/>
      <c r="J568" s="1"/>
    </row>
    <row r="569" spans="1:10" x14ac:dyDescent="0.25">
      <c r="A569" s="8" t="s">
        <v>4433</v>
      </c>
      <c r="B569" s="8" t="s">
        <v>5458</v>
      </c>
      <c r="C569" s="31" t="s">
        <v>5459</v>
      </c>
      <c r="D569" s="8" t="s">
        <v>1877</v>
      </c>
      <c r="E569" s="8" t="s">
        <v>4442</v>
      </c>
      <c r="F569" s="11" t="s">
        <v>24</v>
      </c>
      <c r="G569" s="11" t="s">
        <v>24</v>
      </c>
      <c r="H569" s="1"/>
      <c r="I569" s="1"/>
      <c r="J569" s="1"/>
    </row>
    <row r="570" spans="1:10" x14ac:dyDescent="0.25">
      <c r="A570" s="8" t="s">
        <v>4433</v>
      </c>
      <c r="B570" s="8" t="s">
        <v>5460</v>
      </c>
      <c r="C570" s="31" t="s">
        <v>2793</v>
      </c>
      <c r="D570" s="8" t="s">
        <v>1877</v>
      </c>
      <c r="E570" s="8" t="s">
        <v>4540</v>
      </c>
      <c r="F570" s="11" t="s">
        <v>24</v>
      </c>
      <c r="G570" s="11" t="s">
        <v>24</v>
      </c>
      <c r="H570" s="1"/>
      <c r="I570" s="1"/>
      <c r="J570" s="1"/>
    </row>
    <row r="571" spans="1:10" x14ac:dyDescent="0.25">
      <c r="A571" s="8" t="s">
        <v>4433</v>
      </c>
      <c r="B571" s="8" t="s">
        <v>5461</v>
      </c>
      <c r="C571" s="31">
        <v>66</v>
      </c>
      <c r="D571" s="8" t="s">
        <v>1877</v>
      </c>
      <c r="E571" s="8" t="s">
        <v>4501</v>
      </c>
      <c r="F571" s="11" t="s">
        <v>24</v>
      </c>
      <c r="G571" s="11" t="s">
        <v>24</v>
      </c>
      <c r="H571" s="1"/>
      <c r="I571" s="1"/>
      <c r="J571" s="1"/>
    </row>
    <row r="572" spans="1:10" x14ac:dyDescent="0.25">
      <c r="A572" s="8" t="s">
        <v>4433</v>
      </c>
      <c r="B572" s="8" t="s">
        <v>5462</v>
      </c>
      <c r="C572" s="31" t="s">
        <v>5463</v>
      </c>
      <c r="D572" s="8" t="s">
        <v>1877</v>
      </c>
      <c r="E572" s="8" t="s">
        <v>4473</v>
      </c>
      <c r="F572" s="11" t="s">
        <v>24</v>
      </c>
      <c r="G572" s="11" t="s">
        <v>24</v>
      </c>
      <c r="H572" s="1"/>
      <c r="I572" s="1"/>
      <c r="J572" s="1"/>
    </row>
    <row r="573" spans="1:10" x14ac:dyDescent="0.25">
      <c r="A573" s="8" t="s">
        <v>4433</v>
      </c>
      <c r="B573" s="8" t="s">
        <v>5464</v>
      </c>
      <c r="C573" s="31" t="s">
        <v>5465</v>
      </c>
      <c r="D573" s="8" t="s">
        <v>1877</v>
      </c>
      <c r="E573" s="8" t="s">
        <v>4473</v>
      </c>
      <c r="F573" s="11" t="s">
        <v>24</v>
      </c>
      <c r="G573" s="11" t="s">
        <v>24</v>
      </c>
      <c r="H573" s="1"/>
      <c r="I573" s="1"/>
      <c r="J573" s="1"/>
    </row>
    <row r="574" spans="1:10" x14ac:dyDescent="0.25">
      <c r="A574" s="8" t="s">
        <v>4433</v>
      </c>
      <c r="B574" s="8" t="s">
        <v>5466</v>
      </c>
      <c r="C574" s="31" t="s">
        <v>5467</v>
      </c>
      <c r="D574" s="8" t="s">
        <v>1877</v>
      </c>
      <c r="E574" s="8" t="s">
        <v>4436</v>
      </c>
      <c r="F574" s="11" t="s">
        <v>24</v>
      </c>
      <c r="G574" s="11" t="s">
        <v>24</v>
      </c>
      <c r="H574" s="1"/>
      <c r="I574" s="1"/>
      <c r="J574" s="1"/>
    </row>
    <row r="575" spans="1:10" x14ac:dyDescent="0.25">
      <c r="A575" s="8" t="s">
        <v>4433</v>
      </c>
      <c r="B575" s="8" t="s">
        <v>5468</v>
      </c>
      <c r="C575" s="31" t="s">
        <v>5469</v>
      </c>
      <c r="D575" s="8" t="s">
        <v>1877</v>
      </c>
      <c r="E575" s="8" t="s">
        <v>4499</v>
      </c>
      <c r="F575" s="11" t="s">
        <v>24</v>
      </c>
      <c r="G575" s="11" t="s">
        <v>24</v>
      </c>
      <c r="H575" s="1"/>
      <c r="I575" s="1"/>
      <c r="J575" s="1"/>
    </row>
    <row r="576" spans="1:10" x14ac:dyDescent="0.25">
      <c r="A576" s="8" t="s">
        <v>4433</v>
      </c>
      <c r="B576" s="8" t="s">
        <v>5470</v>
      </c>
      <c r="C576" s="31" t="s">
        <v>5471</v>
      </c>
      <c r="D576" s="8" t="s">
        <v>1877</v>
      </c>
      <c r="E576" s="8" t="s">
        <v>4439</v>
      </c>
      <c r="F576" s="11" t="s">
        <v>24</v>
      </c>
      <c r="G576" s="11" t="s">
        <v>24</v>
      </c>
      <c r="H576" s="1"/>
      <c r="I576" s="1"/>
      <c r="J576" s="1"/>
    </row>
    <row r="577" spans="1:10" x14ac:dyDescent="0.25">
      <c r="A577" s="8" t="s">
        <v>4433</v>
      </c>
      <c r="B577" s="8" t="s">
        <v>5472</v>
      </c>
      <c r="C577" s="31" t="s">
        <v>5473</v>
      </c>
      <c r="D577" s="8" t="s">
        <v>1877</v>
      </c>
      <c r="E577" s="8" t="s">
        <v>4439</v>
      </c>
      <c r="F577" s="11" t="s">
        <v>24</v>
      </c>
      <c r="G577" s="11" t="s">
        <v>24</v>
      </c>
      <c r="H577" s="1"/>
      <c r="I577" s="1"/>
      <c r="J577" s="1"/>
    </row>
    <row r="578" spans="1:10" x14ac:dyDescent="0.25">
      <c r="A578" s="8" t="s">
        <v>4433</v>
      </c>
      <c r="B578" s="8" t="s">
        <v>5474</v>
      </c>
      <c r="C578" s="31" t="s">
        <v>5475</v>
      </c>
      <c r="D578" s="8" t="s">
        <v>1877</v>
      </c>
      <c r="E578" s="8" t="s">
        <v>4540</v>
      </c>
      <c r="F578" s="11" t="s">
        <v>24</v>
      </c>
      <c r="G578" s="11" t="s">
        <v>24</v>
      </c>
      <c r="H578" s="1"/>
      <c r="I578" s="1"/>
      <c r="J578" s="1"/>
    </row>
    <row r="579" spans="1:10" x14ac:dyDescent="0.25">
      <c r="A579" s="8" t="s">
        <v>4433</v>
      </c>
      <c r="B579" s="8" t="s">
        <v>5476</v>
      </c>
      <c r="C579" s="31" t="s">
        <v>5477</v>
      </c>
      <c r="D579" s="8" t="s">
        <v>1877</v>
      </c>
      <c r="E579" s="8" t="s">
        <v>4453</v>
      </c>
      <c r="F579" s="11" t="s">
        <v>24</v>
      </c>
      <c r="G579" s="11" t="s">
        <v>24</v>
      </c>
      <c r="H579" s="1"/>
      <c r="I579" s="1"/>
      <c r="J579" s="1"/>
    </row>
    <row r="580" spans="1:10" x14ac:dyDescent="0.25">
      <c r="A580" s="8" t="s">
        <v>4433</v>
      </c>
      <c r="B580" s="8" t="s">
        <v>5478</v>
      </c>
      <c r="C580" s="31" t="s">
        <v>5479</v>
      </c>
      <c r="D580" s="8" t="s">
        <v>1877</v>
      </c>
      <c r="E580" s="8" t="s">
        <v>4445</v>
      </c>
      <c r="F580" s="11" t="s">
        <v>24</v>
      </c>
      <c r="G580" s="11" t="s">
        <v>24</v>
      </c>
      <c r="H580" s="1"/>
      <c r="I580" s="1"/>
      <c r="J580" s="1"/>
    </row>
    <row r="581" spans="1:10" x14ac:dyDescent="0.25">
      <c r="A581" s="8" t="s">
        <v>4433</v>
      </c>
      <c r="B581" s="8" t="s">
        <v>5480</v>
      </c>
      <c r="C581" s="31">
        <v>9999</v>
      </c>
      <c r="D581" s="8" t="s">
        <v>1877</v>
      </c>
      <c r="E581" s="8" t="s">
        <v>4501</v>
      </c>
      <c r="F581" s="11" t="s">
        <v>24</v>
      </c>
      <c r="G581" s="11" t="s">
        <v>24</v>
      </c>
      <c r="H581" s="1"/>
      <c r="I581" s="1"/>
      <c r="J581" s="1"/>
    </row>
    <row r="582" spans="1:10" x14ac:dyDescent="0.25">
      <c r="A582" s="8" t="s">
        <v>4433</v>
      </c>
      <c r="B582" s="8" t="s">
        <v>5481</v>
      </c>
      <c r="C582" s="31" t="s">
        <v>5482</v>
      </c>
      <c r="D582" s="8" t="s">
        <v>1877</v>
      </c>
      <c r="E582" s="8" t="s">
        <v>4436</v>
      </c>
      <c r="F582" s="11" t="s">
        <v>24</v>
      </c>
      <c r="G582" s="11" t="s">
        <v>24</v>
      </c>
      <c r="H582" s="1"/>
      <c r="I582" s="1"/>
      <c r="J582" s="1"/>
    </row>
    <row r="583" spans="1:10" x14ac:dyDescent="0.25">
      <c r="A583" s="8" t="s">
        <v>4433</v>
      </c>
      <c r="B583" s="8" t="s">
        <v>5483</v>
      </c>
      <c r="C583" s="31">
        <v>17</v>
      </c>
      <c r="D583" s="8" t="s">
        <v>1877</v>
      </c>
      <c r="E583" s="8" t="s">
        <v>4501</v>
      </c>
      <c r="F583" s="11" t="s">
        <v>24</v>
      </c>
      <c r="G583" s="11" t="s">
        <v>24</v>
      </c>
      <c r="H583" s="1"/>
      <c r="I583" s="1"/>
      <c r="J583" s="1"/>
    </row>
    <row r="584" spans="1:10" x14ac:dyDescent="0.25">
      <c r="A584" s="8" t="s">
        <v>4433</v>
      </c>
      <c r="B584" s="8" t="s">
        <v>5484</v>
      </c>
      <c r="C584" s="31" t="s">
        <v>5485</v>
      </c>
      <c r="D584" s="8" t="s">
        <v>1877</v>
      </c>
      <c r="E584" s="8" t="s">
        <v>4499</v>
      </c>
      <c r="F584" s="11" t="s">
        <v>195</v>
      </c>
      <c r="G584" s="11" t="s">
        <v>24</v>
      </c>
      <c r="H584" s="1"/>
      <c r="I584" s="1"/>
      <c r="J584" s="1"/>
    </row>
    <row r="585" spans="1:10" x14ac:dyDescent="0.25">
      <c r="A585" s="8" t="s">
        <v>4433</v>
      </c>
      <c r="B585" s="8" t="s">
        <v>5486</v>
      </c>
      <c r="C585" s="31" t="s">
        <v>5487</v>
      </c>
      <c r="D585" s="8" t="s">
        <v>1877</v>
      </c>
      <c r="E585" s="8" t="s">
        <v>4450</v>
      </c>
      <c r="F585" s="11" t="s">
        <v>24</v>
      </c>
      <c r="G585" s="11" t="s">
        <v>24</v>
      </c>
      <c r="H585" s="1"/>
      <c r="I585" s="1"/>
      <c r="J585" s="1"/>
    </row>
    <row r="586" spans="1:10" x14ac:dyDescent="0.25">
      <c r="A586" s="8" t="s">
        <v>4433</v>
      </c>
      <c r="B586" s="8" t="s">
        <v>5488</v>
      </c>
      <c r="C586" s="31" t="s">
        <v>3561</v>
      </c>
      <c r="D586" s="8" t="s">
        <v>1877</v>
      </c>
      <c r="E586" s="8" t="s">
        <v>4439</v>
      </c>
      <c r="F586" s="11" t="s">
        <v>24</v>
      </c>
      <c r="G586" s="11" t="s">
        <v>24</v>
      </c>
      <c r="H586" s="1"/>
      <c r="I586" s="1"/>
      <c r="J586" s="1"/>
    </row>
    <row r="587" spans="1:10" x14ac:dyDescent="0.25">
      <c r="A587" s="8" t="s">
        <v>4433</v>
      </c>
      <c r="B587" s="8" t="s">
        <v>5489</v>
      </c>
      <c r="C587" s="31" t="s">
        <v>5490</v>
      </c>
      <c r="D587" s="8" t="s">
        <v>1877</v>
      </c>
      <c r="E587" s="8" t="s">
        <v>4442</v>
      </c>
      <c r="F587" s="11" t="s">
        <v>195</v>
      </c>
      <c r="G587" s="11" t="s">
        <v>24</v>
      </c>
      <c r="H587" s="1"/>
      <c r="I587" s="1"/>
      <c r="J587" s="1"/>
    </row>
    <row r="588" spans="1:10" x14ac:dyDescent="0.25">
      <c r="A588" s="8" t="s">
        <v>4433</v>
      </c>
      <c r="B588" s="8" t="s">
        <v>5491</v>
      </c>
      <c r="C588" s="31" t="s">
        <v>5492</v>
      </c>
      <c r="D588" s="8" t="s">
        <v>1877</v>
      </c>
      <c r="E588" s="8" t="s">
        <v>4454</v>
      </c>
      <c r="F588" s="11" t="s">
        <v>24</v>
      </c>
      <c r="G588" s="11" t="s">
        <v>24</v>
      </c>
      <c r="H588" s="1"/>
      <c r="I588" s="1"/>
      <c r="J588" s="1"/>
    </row>
    <row r="589" spans="1:10" x14ac:dyDescent="0.25">
      <c r="A589" s="8" t="s">
        <v>4433</v>
      </c>
      <c r="B589" s="8" t="s">
        <v>5493</v>
      </c>
      <c r="C589" s="31" t="s">
        <v>5494</v>
      </c>
      <c r="D589" s="8" t="s">
        <v>1894</v>
      </c>
      <c r="E589" s="8" t="s">
        <v>4436</v>
      </c>
      <c r="F589" s="11" t="s">
        <v>195</v>
      </c>
      <c r="G589" s="11" t="s">
        <v>24</v>
      </c>
      <c r="H589" s="1"/>
      <c r="I589" s="1"/>
      <c r="J589" s="1"/>
    </row>
    <row r="590" spans="1:10" x14ac:dyDescent="0.25">
      <c r="A590" s="8" t="s">
        <v>4433</v>
      </c>
      <c r="B590" s="8" t="s">
        <v>5495</v>
      </c>
      <c r="C590" s="31">
        <v>6594</v>
      </c>
      <c r="D590" s="8" t="s">
        <v>1877</v>
      </c>
      <c r="E590" s="8" t="s">
        <v>4701</v>
      </c>
      <c r="F590" s="11" t="s">
        <v>24</v>
      </c>
      <c r="G590" s="11" t="s">
        <v>24</v>
      </c>
      <c r="H590" s="1"/>
      <c r="I590" s="1"/>
      <c r="J590" s="1"/>
    </row>
    <row r="591" spans="1:10" x14ac:dyDescent="0.25">
      <c r="A591" s="8" t="s">
        <v>4433</v>
      </c>
      <c r="B591" s="8" t="s">
        <v>5496</v>
      </c>
      <c r="C591" s="31" t="s">
        <v>5497</v>
      </c>
      <c r="D591" s="8" t="s">
        <v>1877</v>
      </c>
      <c r="E591" s="8" t="s">
        <v>4442</v>
      </c>
      <c r="F591" s="11" t="s">
        <v>24</v>
      </c>
      <c r="G591" s="11" t="s">
        <v>24</v>
      </c>
      <c r="H591" s="1"/>
      <c r="I591" s="1"/>
      <c r="J591" s="1"/>
    </row>
    <row r="592" spans="1:10" x14ac:dyDescent="0.25">
      <c r="A592" s="8" t="s">
        <v>4433</v>
      </c>
      <c r="B592" s="8" t="s">
        <v>5498</v>
      </c>
      <c r="C592" s="31">
        <v>7974</v>
      </c>
      <c r="D592" s="8" t="s">
        <v>1877</v>
      </c>
      <c r="E592" s="8" t="s">
        <v>4701</v>
      </c>
      <c r="F592" s="11" t="s">
        <v>195</v>
      </c>
      <c r="G592" s="11" t="s">
        <v>24</v>
      </c>
      <c r="H592" s="1"/>
      <c r="I592" s="1"/>
      <c r="J592" s="1"/>
    </row>
    <row r="593" spans="1:10" x14ac:dyDescent="0.25">
      <c r="A593" s="8" t="s">
        <v>4433</v>
      </c>
      <c r="B593" s="8" t="s">
        <v>5499</v>
      </c>
      <c r="C593" s="31" t="s">
        <v>5500</v>
      </c>
      <c r="D593" s="8" t="s">
        <v>1877</v>
      </c>
      <c r="E593" s="8" t="s">
        <v>4463</v>
      </c>
      <c r="F593" s="11" t="s">
        <v>24</v>
      </c>
      <c r="G593" s="11" t="s">
        <v>24</v>
      </c>
      <c r="H593" s="1"/>
      <c r="I593" s="1"/>
      <c r="J593" s="1"/>
    </row>
    <row r="594" spans="1:10" x14ac:dyDescent="0.25">
      <c r="A594" s="8" t="s">
        <v>4433</v>
      </c>
      <c r="B594" s="8" t="s">
        <v>5501</v>
      </c>
      <c r="C594" s="31">
        <v>9633</v>
      </c>
      <c r="D594" s="8" t="s">
        <v>1877</v>
      </c>
      <c r="E594" s="8" t="s">
        <v>4501</v>
      </c>
      <c r="F594" s="11" t="s">
        <v>24</v>
      </c>
      <c r="G594" s="11" t="s">
        <v>24</v>
      </c>
      <c r="H594" s="1"/>
      <c r="I594" s="1"/>
      <c r="J594" s="1"/>
    </row>
    <row r="595" spans="1:10" x14ac:dyDescent="0.25">
      <c r="A595" s="8" t="s">
        <v>4433</v>
      </c>
      <c r="B595" s="8" t="s">
        <v>5502</v>
      </c>
      <c r="C595" s="31" t="s">
        <v>5503</v>
      </c>
      <c r="D595" s="8" t="s">
        <v>1877</v>
      </c>
      <c r="E595" s="8" t="s">
        <v>4445</v>
      </c>
      <c r="F595" s="11" t="s">
        <v>24</v>
      </c>
      <c r="G595" s="11" t="s">
        <v>24</v>
      </c>
      <c r="H595" s="1"/>
      <c r="I595" s="1"/>
      <c r="J595" s="1"/>
    </row>
    <row r="596" spans="1:10" x14ac:dyDescent="0.25">
      <c r="A596" s="8" t="s">
        <v>4433</v>
      </c>
      <c r="B596" s="8" t="s">
        <v>5502</v>
      </c>
      <c r="C596" s="31" t="s">
        <v>5504</v>
      </c>
      <c r="D596" s="8" t="s">
        <v>1877</v>
      </c>
      <c r="E596" s="8" t="s">
        <v>4454</v>
      </c>
      <c r="F596" s="11" t="s">
        <v>24</v>
      </c>
      <c r="G596" s="11" t="s">
        <v>24</v>
      </c>
      <c r="H596" s="1"/>
      <c r="I596" s="1"/>
      <c r="J596" s="1"/>
    </row>
    <row r="597" spans="1:10" x14ac:dyDescent="0.25">
      <c r="A597" s="8" t="s">
        <v>4433</v>
      </c>
      <c r="B597" s="8" t="s">
        <v>5505</v>
      </c>
      <c r="C597" s="31" t="s">
        <v>3523</v>
      </c>
      <c r="D597" s="8" t="s">
        <v>1877</v>
      </c>
      <c r="E597" s="8" t="s">
        <v>4442</v>
      </c>
      <c r="F597" s="11" t="s">
        <v>24</v>
      </c>
      <c r="G597" s="11" t="s">
        <v>24</v>
      </c>
      <c r="H597" s="1"/>
      <c r="I597" s="1"/>
      <c r="J597" s="1"/>
    </row>
    <row r="598" spans="1:10" x14ac:dyDescent="0.25">
      <c r="A598" s="8" t="s">
        <v>4433</v>
      </c>
      <c r="B598" s="8" t="s">
        <v>5506</v>
      </c>
      <c r="C598" s="31" t="s">
        <v>5507</v>
      </c>
      <c r="D598" s="8" t="s">
        <v>1877</v>
      </c>
      <c r="E598" s="8" t="s">
        <v>4540</v>
      </c>
      <c r="F598" s="11" t="s">
        <v>24</v>
      </c>
      <c r="G598" s="11" t="s">
        <v>24</v>
      </c>
      <c r="H598" s="1"/>
      <c r="I598" s="1"/>
      <c r="J598" s="1"/>
    </row>
    <row r="599" spans="1:10" x14ac:dyDescent="0.25">
      <c r="A599" s="8" t="s">
        <v>4433</v>
      </c>
      <c r="B599" s="8" t="s">
        <v>5508</v>
      </c>
      <c r="C599" s="31" t="s">
        <v>5509</v>
      </c>
      <c r="D599" s="8" t="s">
        <v>1877</v>
      </c>
      <c r="E599" s="8" t="s">
        <v>4453</v>
      </c>
      <c r="F599" s="11" t="s">
        <v>24</v>
      </c>
      <c r="G599" s="11" t="s">
        <v>24</v>
      </c>
      <c r="H599" s="1"/>
      <c r="I599" s="1"/>
      <c r="J599" s="1"/>
    </row>
    <row r="600" spans="1:10" x14ac:dyDescent="0.25">
      <c r="A600" s="8" t="s">
        <v>4433</v>
      </c>
      <c r="B600" s="8" t="s">
        <v>5510</v>
      </c>
      <c r="C600" s="31" t="s">
        <v>5511</v>
      </c>
      <c r="D600" s="8" t="s">
        <v>1877</v>
      </c>
      <c r="E600" s="8" t="s">
        <v>4445</v>
      </c>
      <c r="F600" s="11" t="s">
        <v>24</v>
      </c>
      <c r="G600" s="11" t="s">
        <v>24</v>
      </c>
      <c r="H600" s="1"/>
      <c r="I600" s="1"/>
      <c r="J600" s="1"/>
    </row>
    <row r="601" spans="1:10" x14ac:dyDescent="0.25">
      <c r="A601" s="8" t="s">
        <v>4433</v>
      </c>
      <c r="B601" s="8" t="s">
        <v>5512</v>
      </c>
      <c r="C601" s="31" t="s">
        <v>5513</v>
      </c>
      <c r="D601" s="8" t="s">
        <v>1894</v>
      </c>
      <c r="E601" s="8" t="s">
        <v>4442</v>
      </c>
      <c r="F601" s="11" t="s">
        <v>24</v>
      </c>
      <c r="G601" s="11" t="s">
        <v>24</v>
      </c>
      <c r="H601" s="1"/>
      <c r="I601" s="1"/>
      <c r="J601" s="1"/>
    </row>
    <row r="602" spans="1:10" x14ac:dyDescent="0.25">
      <c r="A602" s="8" t="s">
        <v>4433</v>
      </c>
      <c r="B602" s="8" t="s">
        <v>5514</v>
      </c>
      <c r="C602" s="31" t="s">
        <v>5515</v>
      </c>
      <c r="D602" s="8" t="s">
        <v>1877</v>
      </c>
      <c r="E602" s="8" t="s">
        <v>4445</v>
      </c>
      <c r="F602" s="11" t="s">
        <v>24</v>
      </c>
      <c r="G602" s="11" t="s">
        <v>24</v>
      </c>
      <c r="H602" s="1"/>
      <c r="I602" s="1"/>
      <c r="J602" s="1"/>
    </row>
    <row r="603" spans="1:10" x14ac:dyDescent="0.25">
      <c r="A603" s="8" t="s">
        <v>4433</v>
      </c>
      <c r="B603" s="8" t="s">
        <v>5516</v>
      </c>
      <c r="C603" s="31" t="s">
        <v>5517</v>
      </c>
      <c r="D603" s="8" t="s">
        <v>1877</v>
      </c>
      <c r="E603" s="8" t="s">
        <v>4442</v>
      </c>
      <c r="F603" s="11" t="s">
        <v>24</v>
      </c>
      <c r="G603" s="11" t="s">
        <v>24</v>
      </c>
      <c r="H603" s="1"/>
      <c r="I603" s="1"/>
      <c r="J603" s="1"/>
    </row>
    <row r="604" spans="1:10" x14ac:dyDescent="0.25">
      <c r="A604" s="8" t="s">
        <v>4433</v>
      </c>
      <c r="B604" s="8" t="s">
        <v>5518</v>
      </c>
      <c r="C604" s="31" t="s">
        <v>4020</v>
      </c>
      <c r="D604" s="8" t="s">
        <v>1877</v>
      </c>
      <c r="E604" s="8" t="s">
        <v>4442</v>
      </c>
      <c r="F604" s="11" t="s">
        <v>195</v>
      </c>
      <c r="G604" s="11" t="s">
        <v>24</v>
      </c>
      <c r="H604" s="1"/>
      <c r="I604" s="1"/>
      <c r="J604" s="1"/>
    </row>
    <row r="605" spans="1:10" x14ac:dyDescent="0.25">
      <c r="A605" s="8" t="s">
        <v>4433</v>
      </c>
      <c r="B605" s="8" t="s">
        <v>5519</v>
      </c>
      <c r="C605" s="31" t="s">
        <v>5520</v>
      </c>
      <c r="D605" s="8" t="s">
        <v>1877</v>
      </c>
      <c r="E605" s="8" t="s">
        <v>4499</v>
      </c>
      <c r="F605" s="11" t="s">
        <v>24</v>
      </c>
      <c r="G605" s="11" t="s">
        <v>24</v>
      </c>
      <c r="H605" s="1"/>
      <c r="I605" s="1"/>
      <c r="J605" s="1"/>
    </row>
    <row r="606" spans="1:10" x14ac:dyDescent="0.25">
      <c r="A606" s="8" t="s">
        <v>4433</v>
      </c>
      <c r="B606" s="8" t="s">
        <v>5521</v>
      </c>
      <c r="C606" s="31" t="s">
        <v>5522</v>
      </c>
      <c r="D606" s="8" t="s">
        <v>1877</v>
      </c>
      <c r="E606" s="8" t="s">
        <v>4436</v>
      </c>
      <c r="F606" s="11" t="s">
        <v>24</v>
      </c>
      <c r="G606" s="11" t="s">
        <v>24</v>
      </c>
      <c r="H606" s="1"/>
      <c r="I606" s="1"/>
      <c r="J606" s="1"/>
    </row>
    <row r="607" spans="1:10" x14ac:dyDescent="0.25">
      <c r="A607" s="8" t="s">
        <v>4433</v>
      </c>
      <c r="B607" s="8" t="s">
        <v>5523</v>
      </c>
      <c r="C607" s="31" t="s">
        <v>5524</v>
      </c>
      <c r="D607" s="8" t="s">
        <v>1877</v>
      </c>
      <c r="E607" s="8" t="s">
        <v>4436</v>
      </c>
      <c r="F607" s="11" t="s">
        <v>24</v>
      </c>
      <c r="G607" s="11" t="s">
        <v>24</v>
      </c>
      <c r="H607" s="1"/>
      <c r="I607" s="1"/>
      <c r="J607" s="1"/>
    </row>
    <row r="608" spans="1:10" x14ac:dyDescent="0.25">
      <c r="A608" s="8" t="s">
        <v>4433</v>
      </c>
      <c r="B608" s="8" t="s">
        <v>5525</v>
      </c>
      <c r="C608" s="31" t="s">
        <v>5526</v>
      </c>
      <c r="D608" s="8" t="s">
        <v>1877</v>
      </c>
      <c r="E608" s="8" t="s">
        <v>4439</v>
      </c>
      <c r="F608" s="11" t="s">
        <v>24</v>
      </c>
      <c r="G608" s="11" t="s">
        <v>24</v>
      </c>
      <c r="H608" s="1"/>
      <c r="I608" s="1"/>
      <c r="J608" s="1"/>
    </row>
    <row r="609" spans="1:10" x14ac:dyDescent="0.25">
      <c r="A609" s="8" t="s">
        <v>4433</v>
      </c>
      <c r="B609" s="8" t="s">
        <v>5527</v>
      </c>
      <c r="C609" s="31" t="s">
        <v>5528</v>
      </c>
      <c r="D609" s="8" t="s">
        <v>1877</v>
      </c>
      <c r="E609" s="8" t="s">
        <v>4442</v>
      </c>
      <c r="F609" s="11" t="s">
        <v>195</v>
      </c>
      <c r="G609" s="11" t="s">
        <v>24</v>
      </c>
      <c r="H609" s="1"/>
      <c r="I609" s="1"/>
      <c r="J609" s="1"/>
    </row>
    <row r="610" spans="1:10" x14ac:dyDescent="0.25">
      <c r="A610" s="8" t="s">
        <v>4433</v>
      </c>
      <c r="B610" s="8" t="s">
        <v>5529</v>
      </c>
      <c r="C610" s="31" t="s">
        <v>5530</v>
      </c>
      <c r="D610" s="8" t="s">
        <v>1877</v>
      </c>
      <c r="E610" s="8" t="s">
        <v>4436</v>
      </c>
      <c r="F610" s="11" t="s">
        <v>24</v>
      </c>
      <c r="G610" s="11" t="s">
        <v>24</v>
      </c>
      <c r="H610" s="1"/>
      <c r="I610" s="1"/>
      <c r="J610" s="1"/>
    </row>
    <row r="611" spans="1:10" x14ac:dyDescent="0.25">
      <c r="A611" s="8" t="s">
        <v>4433</v>
      </c>
      <c r="B611" s="8" t="s">
        <v>5531</v>
      </c>
      <c r="C611" s="31">
        <v>7733</v>
      </c>
      <c r="D611" s="8" t="s">
        <v>1877</v>
      </c>
      <c r="E611" s="8" t="s">
        <v>4701</v>
      </c>
      <c r="F611" s="11" t="s">
        <v>195</v>
      </c>
      <c r="G611" s="11" t="s">
        <v>24</v>
      </c>
      <c r="H611" s="1"/>
      <c r="I611" s="1"/>
      <c r="J611" s="1"/>
    </row>
    <row r="612" spans="1:10" x14ac:dyDescent="0.25">
      <c r="A612" s="8" t="s">
        <v>4433</v>
      </c>
      <c r="B612" s="8" t="s">
        <v>5532</v>
      </c>
      <c r="C612" s="31">
        <v>6645</v>
      </c>
      <c r="D612" s="8" t="s">
        <v>1877</v>
      </c>
      <c r="E612" s="8" t="s">
        <v>4701</v>
      </c>
      <c r="F612" s="11" t="s">
        <v>24</v>
      </c>
      <c r="G612" s="11" t="s">
        <v>24</v>
      </c>
      <c r="H612" s="1"/>
      <c r="I612" s="1"/>
      <c r="J612" s="1"/>
    </row>
    <row r="613" spans="1:10" x14ac:dyDescent="0.25">
      <c r="A613" s="8" t="s">
        <v>4433</v>
      </c>
      <c r="B613" s="8" t="s">
        <v>5533</v>
      </c>
      <c r="C613" s="31" t="s">
        <v>5534</v>
      </c>
      <c r="D613" s="8" t="s">
        <v>1877</v>
      </c>
      <c r="E613" s="8" t="s">
        <v>4442</v>
      </c>
      <c r="F613" s="11" t="s">
        <v>195</v>
      </c>
      <c r="G613" s="11" t="s">
        <v>24</v>
      </c>
      <c r="H613" s="1"/>
      <c r="I613" s="1"/>
      <c r="J613" s="1"/>
    </row>
    <row r="614" spans="1:10" x14ac:dyDescent="0.25">
      <c r="A614" s="8" t="s">
        <v>4433</v>
      </c>
      <c r="B614" s="8" t="s">
        <v>5535</v>
      </c>
      <c r="C614" s="31" t="s">
        <v>5536</v>
      </c>
      <c r="D614" s="8" t="s">
        <v>1877</v>
      </c>
      <c r="E614" s="8" t="s">
        <v>4442</v>
      </c>
      <c r="F614" s="11" t="s">
        <v>24</v>
      </c>
      <c r="G614" s="11" t="s">
        <v>24</v>
      </c>
      <c r="H614" s="1"/>
      <c r="I614" s="1"/>
      <c r="J614" s="1"/>
    </row>
    <row r="615" spans="1:10" x14ac:dyDescent="0.25">
      <c r="A615" s="8" t="s">
        <v>4433</v>
      </c>
      <c r="B615" s="8" t="s">
        <v>5537</v>
      </c>
      <c r="C615" s="31" t="s">
        <v>5538</v>
      </c>
      <c r="D615" s="8" t="s">
        <v>1877</v>
      </c>
      <c r="E615" s="8" t="s">
        <v>4499</v>
      </c>
      <c r="F615" s="11" t="s">
        <v>24</v>
      </c>
      <c r="G615" s="11" t="s">
        <v>24</v>
      </c>
      <c r="H615" s="1"/>
      <c r="I615" s="1"/>
      <c r="J615" s="1"/>
    </row>
    <row r="616" spans="1:10" x14ac:dyDescent="0.25">
      <c r="A616" s="8" t="s">
        <v>4433</v>
      </c>
      <c r="B616" s="8" t="s">
        <v>5539</v>
      </c>
      <c r="C616" s="31" t="s">
        <v>5540</v>
      </c>
      <c r="D616" s="8" t="s">
        <v>1877</v>
      </c>
      <c r="E616" s="8" t="s">
        <v>4442</v>
      </c>
      <c r="F616" s="11" t="s">
        <v>24</v>
      </c>
      <c r="G616" s="11" t="s">
        <v>24</v>
      </c>
      <c r="H616" s="1"/>
      <c r="I616" s="1"/>
      <c r="J616" s="1"/>
    </row>
    <row r="617" spans="1:10" x14ac:dyDescent="0.25">
      <c r="A617" s="8" t="s">
        <v>4433</v>
      </c>
      <c r="B617" s="8" t="s">
        <v>5541</v>
      </c>
      <c r="C617" s="31" t="s">
        <v>3632</v>
      </c>
      <c r="D617" s="8" t="s">
        <v>1877</v>
      </c>
      <c r="E617" s="8" t="s">
        <v>4468</v>
      </c>
      <c r="F617" s="11" t="s">
        <v>24</v>
      </c>
      <c r="G617" s="11" t="s">
        <v>24</v>
      </c>
      <c r="H617" s="1"/>
      <c r="I617" s="1"/>
      <c r="J617" s="1"/>
    </row>
    <row r="618" spans="1:10" x14ac:dyDescent="0.25">
      <c r="A618" s="8" t="s">
        <v>4433</v>
      </c>
      <c r="B618" s="8" t="s">
        <v>5542</v>
      </c>
      <c r="C618" s="31" t="s">
        <v>5543</v>
      </c>
      <c r="D618" s="8" t="s">
        <v>1877</v>
      </c>
      <c r="E618" s="8" t="s">
        <v>4436</v>
      </c>
      <c r="F618" s="11" t="s">
        <v>24</v>
      </c>
      <c r="G618" s="11" t="s">
        <v>24</v>
      </c>
      <c r="H618" s="1"/>
      <c r="I618" s="1"/>
      <c r="J618" s="1"/>
    </row>
    <row r="619" spans="1:10" x14ac:dyDescent="0.25">
      <c r="A619" s="8" t="s">
        <v>4433</v>
      </c>
      <c r="B619" s="8" t="s">
        <v>5544</v>
      </c>
      <c r="C619" s="31">
        <v>316</v>
      </c>
      <c r="D619" s="8" t="s">
        <v>1877</v>
      </c>
      <c r="E619" s="8" t="s">
        <v>4501</v>
      </c>
      <c r="F619" s="11" t="s">
        <v>24</v>
      </c>
      <c r="G619" s="11" t="s">
        <v>24</v>
      </c>
      <c r="H619" s="1"/>
      <c r="I619" s="1"/>
      <c r="J619" s="1"/>
    </row>
    <row r="620" spans="1:10" x14ac:dyDescent="0.25">
      <c r="A620" s="8" t="s">
        <v>4433</v>
      </c>
      <c r="B620" s="8" t="s">
        <v>5545</v>
      </c>
      <c r="C620" s="31">
        <v>8954</v>
      </c>
      <c r="D620" s="8" t="s">
        <v>1881</v>
      </c>
      <c r="E620" s="8" t="s">
        <v>4701</v>
      </c>
      <c r="F620" s="11" t="s">
        <v>195</v>
      </c>
      <c r="G620" s="11" t="s">
        <v>24</v>
      </c>
      <c r="H620" s="1"/>
      <c r="I620" s="1"/>
      <c r="J620" s="1"/>
    </row>
    <row r="621" spans="1:10" x14ac:dyDescent="0.25">
      <c r="A621" s="8" t="s">
        <v>4433</v>
      </c>
      <c r="B621" s="8" t="s">
        <v>5546</v>
      </c>
      <c r="C621" s="31" t="s">
        <v>5547</v>
      </c>
      <c r="D621" s="8" t="s">
        <v>1877</v>
      </c>
      <c r="E621" s="8" t="s">
        <v>4445</v>
      </c>
      <c r="F621" s="11" t="s">
        <v>24</v>
      </c>
      <c r="G621" s="11" t="s">
        <v>24</v>
      </c>
      <c r="H621" s="1"/>
      <c r="I621" s="1"/>
      <c r="J621" s="1"/>
    </row>
    <row r="622" spans="1:10" x14ac:dyDescent="0.25">
      <c r="A622" s="8" t="s">
        <v>4433</v>
      </c>
      <c r="B622" s="8" t="s">
        <v>5548</v>
      </c>
      <c r="C622" s="31" t="s">
        <v>5549</v>
      </c>
      <c r="D622" s="8" t="s">
        <v>1877</v>
      </c>
      <c r="E622" s="8" t="s">
        <v>4768</v>
      </c>
      <c r="F622" s="11" t="s">
        <v>24</v>
      </c>
      <c r="G622" s="11" t="s">
        <v>24</v>
      </c>
      <c r="H622" s="1"/>
      <c r="I622" s="1"/>
      <c r="J622" s="1"/>
    </row>
    <row r="623" spans="1:10" x14ac:dyDescent="0.25">
      <c r="A623" s="8" t="s">
        <v>4433</v>
      </c>
      <c r="B623" s="8" t="s">
        <v>5550</v>
      </c>
      <c r="C623" s="31" t="s">
        <v>5551</v>
      </c>
      <c r="D623" s="8" t="s">
        <v>1877</v>
      </c>
      <c r="E623" s="8" t="s">
        <v>4436</v>
      </c>
      <c r="F623" s="11" t="s">
        <v>24</v>
      </c>
      <c r="G623" s="11" t="s">
        <v>24</v>
      </c>
      <c r="H623" s="1"/>
      <c r="I623" s="1"/>
      <c r="J623" s="1"/>
    </row>
    <row r="624" spans="1:10" x14ac:dyDescent="0.25">
      <c r="A624" s="8" t="s">
        <v>4433</v>
      </c>
      <c r="B624" s="8" t="s">
        <v>5552</v>
      </c>
      <c r="C624" s="31" t="s">
        <v>5553</v>
      </c>
      <c r="D624" s="8" t="s">
        <v>1877</v>
      </c>
      <c r="E624" s="8" t="s">
        <v>4436</v>
      </c>
      <c r="F624" s="11" t="s">
        <v>195</v>
      </c>
      <c r="G624" s="11" t="s">
        <v>24</v>
      </c>
      <c r="H624" s="1"/>
      <c r="I624" s="1"/>
      <c r="J624" s="1"/>
    </row>
    <row r="625" spans="1:10" x14ac:dyDescent="0.25">
      <c r="A625" s="8" t="s">
        <v>4433</v>
      </c>
      <c r="B625" s="8" t="s">
        <v>5554</v>
      </c>
      <c r="C625" s="31" t="s">
        <v>5555</v>
      </c>
      <c r="D625" s="8" t="s">
        <v>1877</v>
      </c>
      <c r="E625" s="8" t="s">
        <v>4442</v>
      </c>
      <c r="F625" s="11" t="s">
        <v>195</v>
      </c>
      <c r="G625" s="11" t="s">
        <v>24</v>
      </c>
      <c r="H625" s="1"/>
      <c r="I625" s="1"/>
      <c r="J625" s="1"/>
    </row>
    <row r="626" spans="1:10" x14ac:dyDescent="0.25">
      <c r="A626" s="8" t="s">
        <v>4433</v>
      </c>
      <c r="B626" s="8" t="s">
        <v>5556</v>
      </c>
      <c r="C626" s="31" t="s">
        <v>5557</v>
      </c>
      <c r="D626" s="8" t="s">
        <v>1877</v>
      </c>
      <c r="E626" s="8" t="s">
        <v>4436</v>
      </c>
      <c r="F626" s="11" t="s">
        <v>24</v>
      </c>
      <c r="G626" s="11" t="s">
        <v>24</v>
      </c>
      <c r="H626" s="1"/>
      <c r="I626" s="1"/>
      <c r="J626" s="1"/>
    </row>
    <row r="627" spans="1:10" x14ac:dyDescent="0.25">
      <c r="A627" s="8" t="s">
        <v>4433</v>
      </c>
      <c r="B627" s="8" t="s">
        <v>5558</v>
      </c>
      <c r="C627" s="31" t="s">
        <v>5559</v>
      </c>
      <c r="D627" s="8" t="s">
        <v>1877</v>
      </c>
      <c r="E627" s="8" t="s">
        <v>4436</v>
      </c>
      <c r="F627" s="11" t="s">
        <v>24</v>
      </c>
      <c r="G627" s="11" t="s">
        <v>24</v>
      </c>
      <c r="H627" s="1"/>
      <c r="I627" s="1"/>
      <c r="J627" s="1"/>
    </row>
    <row r="628" spans="1:10" x14ac:dyDescent="0.25">
      <c r="A628" s="8" t="s">
        <v>4433</v>
      </c>
      <c r="B628" s="8" t="s">
        <v>5560</v>
      </c>
      <c r="C628" s="31" t="s">
        <v>5561</v>
      </c>
      <c r="D628" s="8" t="s">
        <v>1877</v>
      </c>
      <c r="E628" s="8" t="s">
        <v>4445</v>
      </c>
      <c r="F628" s="11" t="s">
        <v>24</v>
      </c>
      <c r="G628" s="11" t="s">
        <v>24</v>
      </c>
      <c r="H628" s="1"/>
      <c r="I628" s="1"/>
      <c r="J628" s="1"/>
    </row>
    <row r="629" spans="1:10" x14ac:dyDescent="0.25">
      <c r="A629" s="8" t="s">
        <v>4433</v>
      </c>
      <c r="B629" s="8" t="s">
        <v>5562</v>
      </c>
      <c r="C629" s="31" t="s">
        <v>5563</v>
      </c>
      <c r="D629" s="8" t="s">
        <v>1877</v>
      </c>
      <c r="E629" s="8" t="s">
        <v>4453</v>
      </c>
      <c r="F629" s="11" t="s">
        <v>24</v>
      </c>
      <c r="G629" s="11" t="s">
        <v>24</v>
      </c>
      <c r="H629" s="1"/>
      <c r="I629" s="1"/>
      <c r="J629" s="1"/>
    </row>
    <row r="630" spans="1:10" x14ac:dyDescent="0.25">
      <c r="A630" s="8" t="s">
        <v>4433</v>
      </c>
      <c r="B630" s="8" t="s">
        <v>5564</v>
      </c>
      <c r="C630" s="31" t="s">
        <v>5565</v>
      </c>
      <c r="D630" s="8" t="s">
        <v>1877</v>
      </c>
      <c r="E630" s="8" t="s">
        <v>4436</v>
      </c>
      <c r="F630" s="11" t="s">
        <v>24</v>
      </c>
      <c r="G630" s="11" t="s">
        <v>24</v>
      </c>
      <c r="H630" s="1"/>
      <c r="I630" s="1"/>
      <c r="J630" s="1"/>
    </row>
    <row r="631" spans="1:10" x14ac:dyDescent="0.25">
      <c r="A631" s="8" t="s">
        <v>4433</v>
      </c>
      <c r="B631" s="8" t="s">
        <v>5566</v>
      </c>
      <c r="C631" s="31" t="s">
        <v>5567</v>
      </c>
      <c r="D631" s="8" t="s">
        <v>1877</v>
      </c>
      <c r="E631" s="8" t="s">
        <v>4436</v>
      </c>
      <c r="F631" s="11" t="s">
        <v>24</v>
      </c>
      <c r="G631" s="11" t="s">
        <v>24</v>
      </c>
      <c r="H631" s="1"/>
      <c r="I631" s="1"/>
      <c r="J631" s="1"/>
    </row>
    <row r="632" spans="1:10" x14ac:dyDescent="0.25">
      <c r="A632" s="8" t="s">
        <v>4433</v>
      </c>
      <c r="B632" s="8" t="s">
        <v>5568</v>
      </c>
      <c r="C632" s="31" t="s">
        <v>5569</v>
      </c>
      <c r="D632" s="8" t="s">
        <v>1894</v>
      </c>
      <c r="E632" s="8" t="s">
        <v>4436</v>
      </c>
      <c r="F632" s="11" t="s">
        <v>24</v>
      </c>
      <c r="G632" s="11" t="s">
        <v>24</v>
      </c>
      <c r="H632" s="1"/>
      <c r="I632" s="1"/>
      <c r="J632" s="1"/>
    </row>
    <row r="633" spans="1:10" x14ac:dyDescent="0.25">
      <c r="A633" s="8" t="s">
        <v>4433</v>
      </c>
      <c r="B633" s="8" t="s">
        <v>5570</v>
      </c>
      <c r="C633" s="31" t="s">
        <v>5571</v>
      </c>
      <c r="D633" s="8" t="s">
        <v>1877</v>
      </c>
      <c r="E633" s="8" t="s">
        <v>4439</v>
      </c>
      <c r="F633" s="11" t="s">
        <v>24</v>
      </c>
      <c r="G633" s="11" t="s">
        <v>24</v>
      </c>
      <c r="H633" s="1"/>
      <c r="I633" s="1"/>
      <c r="J633" s="1"/>
    </row>
    <row r="634" spans="1:10" x14ac:dyDescent="0.25">
      <c r="A634" s="8" t="s">
        <v>4433</v>
      </c>
      <c r="B634" s="8" t="s">
        <v>5572</v>
      </c>
      <c r="C634" s="31" t="s">
        <v>5573</v>
      </c>
      <c r="D634" s="8" t="s">
        <v>1877</v>
      </c>
      <c r="E634" s="8" t="s">
        <v>4499</v>
      </c>
      <c r="F634" s="11" t="s">
        <v>24</v>
      </c>
      <c r="G634" s="11" t="s">
        <v>24</v>
      </c>
      <c r="H634" s="1"/>
      <c r="I634" s="1"/>
      <c r="J634" s="1"/>
    </row>
    <row r="635" spans="1:10" x14ac:dyDescent="0.25">
      <c r="A635" s="8" t="s">
        <v>4433</v>
      </c>
      <c r="B635" s="8" t="s">
        <v>5574</v>
      </c>
      <c r="C635" s="31" t="s">
        <v>5575</v>
      </c>
      <c r="D635" s="8" t="s">
        <v>1877</v>
      </c>
      <c r="E635" s="8" t="s">
        <v>4439</v>
      </c>
      <c r="F635" s="11" t="s">
        <v>195</v>
      </c>
      <c r="G635" s="11" t="s">
        <v>24</v>
      </c>
      <c r="H635" s="1"/>
      <c r="I635" s="1"/>
      <c r="J635" s="1"/>
    </row>
    <row r="636" spans="1:10" x14ac:dyDescent="0.25">
      <c r="A636" s="8" t="s">
        <v>4433</v>
      </c>
      <c r="B636" s="8" t="s">
        <v>5576</v>
      </c>
      <c r="C636" s="31" t="s">
        <v>5577</v>
      </c>
      <c r="D636" s="8" t="s">
        <v>1877</v>
      </c>
      <c r="E636" s="8" t="s">
        <v>4436</v>
      </c>
      <c r="F636" s="11" t="s">
        <v>24</v>
      </c>
      <c r="G636" s="11" t="s">
        <v>24</v>
      </c>
      <c r="H636" s="1"/>
      <c r="I636" s="1"/>
      <c r="J636" s="1"/>
    </row>
    <row r="637" spans="1:10" x14ac:dyDescent="0.25">
      <c r="A637" s="8" t="s">
        <v>4433</v>
      </c>
      <c r="B637" s="8" t="s">
        <v>5578</v>
      </c>
      <c r="C637" s="31" t="s">
        <v>5579</v>
      </c>
      <c r="D637" s="8" t="s">
        <v>1877</v>
      </c>
      <c r="E637" s="8" t="s">
        <v>4468</v>
      </c>
      <c r="F637" s="11" t="s">
        <v>24</v>
      </c>
      <c r="G637" s="11" t="s">
        <v>24</v>
      </c>
      <c r="H637" s="1"/>
      <c r="I637" s="1"/>
      <c r="J637" s="1"/>
    </row>
    <row r="638" spans="1:10" x14ac:dyDescent="0.25">
      <c r="A638" s="8" t="s">
        <v>4433</v>
      </c>
      <c r="B638" s="8" t="s">
        <v>5580</v>
      </c>
      <c r="C638" s="31" t="s">
        <v>5581</v>
      </c>
      <c r="D638" s="8" t="s">
        <v>1877</v>
      </c>
      <c r="E638" s="8" t="s">
        <v>4439</v>
      </c>
      <c r="F638" s="11" t="s">
        <v>24</v>
      </c>
      <c r="G638" s="11" t="s">
        <v>24</v>
      </c>
      <c r="H638" s="1"/>
      <c r="I638" s="1"/>
      <c r="J638" s="1"/>
    </row>
    <row r="639" spans="1:10" x14ac:dyDescent="0.25">
      <c r="A639" s="8" t="s">
        <v>4433</v>
      </c>
      <c r="B639" s="8" t="s">
        <v>5582</v>
      </c>
      <c r="C639" s="31" t="s">
        <v>5583</v>
      </c>
      <c r="D639" s="8" t="s">
        <v>1877</v>
      </c>
      <c r="E639" s="8" t="s">
        <v>4439</v>
      </c>
      <c r="F639" s="11" t="s">
        <v>24</v>
      </c>
      <c r="G639" s="11" t="s">
        <v>24</v>
      </c>
      <c r="H639" s="1"/>
      <c r="I639" s="1"/>
      <c r="J639" s="1"/>
    </row>
    <row r="640" spans="1:10" x14ac:dyDescent="0.25">
      <c r="A640" s="8" t="s">
        <v>4433</v>
      </c>
      <c r="B640" s="8" t="s">
        <v>5584</v>
      </c>
      <c r="C640" s="31">
        <v>857</v>
      </c>
      <c r="D640" s="8" t="s">
        <v>1877</v>
      </c>
      <c r="E640" s="8" t="s">
        <v>4501</v>
      </c>
      <c r="F640" s="11" t="s">
        <v>24</v>
      </c>
      <c r="G640" s="11" t="s">
        <v>24</v>
      </c>
      <c r="H640" s="1"/>
      <c r="I640" s="1"/>
      <c r="J640" s="1"/>
    </row>
    <row r="641" spans="1:10" x14ac:dyDescent="0.25">
      <c r="A641" s="8" t="s">
        <v>4433</v>
      </c>
      <c r="B641" s="8" t="s">
        <v>5585</v>
      </c>
      <c r="C641" s="31" t="s">
        <v>5586</v>
      </c>
      <c r="D641" s="8" t="s">
        <v>1877</v>
      </c>
      <c r="E641" s="8" t="s">
        <v>4442</v>
      </c>
      <c r="F641" s="11" t="s">
        <v>24</v>
      </c>
      <c r="G641" s="11" t="s">
        <v>24</v>
      </c>
      <c r="H641" s="1"/>
      <c r="I641" s="1"/>
      <c r="J641" s="1"/>
    </row>
    <row r="642" spans="1:10" x14ac:dyDescent="0.25">
      <c r="A642" s="8" t="s">
        <v>4433</v>
      </c>
      <c r="B642" s="8" t="s">
        <v>5587</v>
      </c>
      <c r="C642" s="31" t="s">
        <v>3670</v>
      </c>
      <c r="D642" s="8" t="s">
        <v>1877</v>
      </c>
      <c r="E642" s="8" t="s">
        <v>4442</v>
      </c>
      <c r="F642" s="11" t="s">
        <v>24</v>
      </c>
      <c r="G642" s="11" t="s">
        <v>24</v>
      </c>
      <c r="H642" s="1"/>
      <c r="I642" s="1"/>
      <c r="J642" s="1"/>
    </row>
    <row r="643" spans="1:10" x14ac:dyDescent="0.25">
      <c r="A643" s="8" t="s">
        <v>4433</v>
      </c>
      <c r="B643" s="8" t="s">
        <v>5588</v>
      </c>
      <c r="C643" s="31" t="s">
        <v>5589</v>
      </c>
      <c r="D643" s="8" t="s">
        <v>1877</v>
      </c>
      <c r="E643" s="8" t="s">
        <v>4442</v>
      </c>
      <c r="F643" s="11" t="s">
        <v>24</v>
      </c>
      <c r="G643" s="11" t="s">
        <v>24</v>
      </c>
      <c r="H643" s="1"/>
      <c r="I643" s="1"/>
      <c r="J643" s="1"/>
    </row>
    <row r="644" spans="1:10" x14ac:dyDescent="0.25">
      <c r="A644" s="8" t="s">
        <v>4433</v>
      </c>
      <c r="B644" s="8" t="s">
        <v>5590</v>
      </c>
      <c r="C644" s="31" t="s">
        <v>5591</v>
      </c>
      <c r="D644" s="8" t="s">
        <v>1877</v>
      </c>
      <c r="E644" s="8" t="s">
        <v>4439</v>
      </c>
      <c r="F644" s="11" t="s">
        <v>24</v>
      </c>
      <c r="G644" s="11" t="s">
        <v>24</v>
      </c>
      <c r="H644" s="1"/>
      <c r="I644" s="1"/>
      <c r="J644" s="1"/>
    </row>
    <row r="645" spans="1:10" x14ac:dyDescent="0.25">
      <c r="A645" s="8" t="s">
        <v>4433</v>
      </c>
      <c r="B645" s="8" t="s">
        <v>5592</v>
      </c>
      <c r="C645" s="31">
        <v>2318</v>
      </c>
      <c r="D645" s="8" t="s">
        <v>1877</v>
      </c>
      <c r="E645" s="8" t="s">
        <v>4501</v>
      </c>
      <c r="F645" s="11" t="s">
        <v>24</v>
      </c>
      <c r="G645" s="11" t="s">
        <v>24</v>
      </c>
      <c r="H645" s="1"/>
      <c r="I645" s="1"/>
      <c r="J645" s="1"/>
    </row>
    <row r="646" spans="1:10" x14ac:dyDescent="0.25">
      <c r="A646" s="8" t="s">
        <v>4433</v>
      </c>
      <c r="B646" s="8" t="s">
        <v>5593</v>
      </c>
      <c r="C646" s="31" t="s">
        <v>5594</v>
      </c>
      <c r="D646" s="8" t="s">
        <v>1877</v>
      </c>
      <c r="E646" s="8" t="s">
        <v>4442</v>
      </c>
      <c r="F646" s="11" t="s">
        <v>195</v>
      </c>
      <c r="G646" s="11" t="s">
        <v>24</v>
      </c>
      <c r="H646" s="1"/>
      <c r="I646" s="1"/>
      <c r="J646" s="1"/>
    </row>
    <row r="647" spans="1:10" x14ac:dyDescent="0.25">
      <c r="A647" s="8" t="s">
        <v>4433</v>
      </c>
      <c r="B647" s="8" t="s">
        <v>5595</v>
      </c>
      <c r="C647" s="31" t="s">
        <v>5596</v>
      </c>
      <c r="D647" s="8" t="s">
        <v>1877</v>
      </c>
      <c r="E647" s="8" t="s">
        <v>4450</v>
      </c>
      <c r="F647" s="11" t="s">
        <v>24</v>
      </c>
      <c r="G647" s="11" t="s">
        <v>24</v>
      </c>
      <c r="H647" s="1"/>
      <c r="I647" s="1"/>
      <c r="J647" s="1"/>
    </row>
    <row r="648" spans="1:10" x14ac:dyDescent="0.25">
      <c r="A648" s="8" t="s">
        <v>4433</v>
      </c>
      <c r="B648" s="8" t="s">
        <v>5597</v>
      </c>
      <c r="C648" s="31" t="s">
        <v>5598</v>
      </c>
      <c r="D648" s="8" t="s">
        <v>1877</v>
      </c>
      <c r="E648" s="8" t="s">
        <v>4442</v>
      </c>
      <c r="F648" s="11" t="s">
        <v>195</v>
      </c>
      <c r="G648" s="11" t="s">
        <v>24</v>
      </c>
      <c r="H648" s="1"/>
      <c r="I648" s="1"/>
      <c r="J648" s="1"/>
    </row>
    <row r="649" spans="1:10" x14ac:dyDescent="0.25">
      <c r="A649" s="8" t="s">
        <v>4433</v>
      </c>
      <c r="B649" s="8" t="s">
        <v>5599</v>
      </c>
      <c r="C649" s="31" t="s">
        <v>5600</v>
      </c>
      <c r="D649" s="8" t="s">
        <v>1991</v>
      </c>
      <c r="E649" s="8" t="s">
        <v>4473</v>
      </c>
      <c r="F649" s="11" t="s">
        <v>24</v>
      </c>
      <c r="G649" s="11" t="s">
        <v>24</v>
      </c>
      <c r="H649" s="1"/>
      <c r="I649" s="1"/>
      <c r="J649" s="1"/>
    </row>
    <row r="650" spans="1:10" x14ac:dyDescent="0.25">
      <c r="A650" s="8" t="s">
        <v>4433</v>
      </c>
      <c r="B650" s="8" t="s">
        <v>5601</v>
      </c>
      <c r="C650" s="31" t="s">
        <v>5602</v>
      </c>
      <c r="D650" s="8" t="s">
        <v>1877</v>
      </c>
      <c r="E650" s="8" t="s">
        <v>4450</v>
      </c>
      <c r="F650" s="11" t="s">
        <v>24</v>
      </c>
      <c r="G650" s="11" t="s">
        <v>24</v>
      </c>
      <c r="H650" s="1"/>
      <c r="I650" s="1"/>
      <c r="J650" s="1"/>
    </row>
    <row r="651" spans="1:10" x14ac:dyDescent="0.25">
      <c r="A651" s="8" t="s">
        <v>4433</v>
      </c>
      <c r="B651" s="8" t="s">
        <v>5603</v>
      </c>
      <c r="C651" s="31">
        <v>6</v>
      </c>
      <c r="D651" s="8" t="s">
        <v>1877</v>
      </c>
      <c r="E651" s="8" t="s">
        <v>4501</v>
      </c>
      <c r="F651" s="11" t="s">
        <v>24</v>
      </c>
      <c r="G651" s="11" t="s">
        <v>24</v>
      </c>
      <c r="H651" s="1"/>
      <c r="I651" s="1"/>
      <c r="J651" s="1"/>
    </row>
    <row r="652" spans="1:10" x14ac:dyDescent="0.25">
      <c r="A652" s="8" t="s">
        <v>4433</v>
      </c>
      <c r="B652" s="8" t="s">
        <v>5604</v>
      </c>
      <c r="C652" s="31" t="s">
        <v>5605</v>
      </c>
      <c r="D652" s="8" t="s">
        <v>1877</v>
      </c>
      <c r="E652" s="8" t="s">
        <v>4499</v>
      </c>
      <c r="F652" s="11" t="s">
        <v>24</v>
      </c>
      <c r="G652" s="11" t="s">
        <v>24</v>
      </c>
      <c r="H652" s="1"/>
      <c r="I652" s="1"/>
      <c r="J652" s="1"/>
    </row>
    <row r="653" spans="1:10" x14ac:dyDescent="0.25">
      <c r="A653" s="8" t="s">
        <v>4433</v>
      </c>
      <c r="B653" s="8" t="s">
        <v>5606</v>
      </c>
      <c r="C653" s="31" t="s">
        <v>5607</v>
      </c>
      <c r="D653" s="8" t="s">
        <v>1877</v>
      </c>
      <c r="E653" s="8" t="s">
        <v>4436</v>
      </c>
      <c r="F653" s="11" t="s">
        <v>24</v>
      </c>
      <c r="G653" s="11" t="s">
        <v>24</v>
      </c>
      <c r="H653" s="1"/>
      <c r="I653" s="1"/>
      <c r="J653" s="1"/>
    </row>
    <row r="654" spans="1:10" x14ac:dyDescent="0.25">
      <c r="A654" s="8" t="s">
        <v>4433</v>
      </c>
      <c r="B654" s="8" t="s">
        <v>5608</v>
      </c>
      <c r="C654" s="31" t="s">
        <v>5609</v>
      </c>
      <c r="D654" s="8" t="s">
        <v>1877</v>
      </c>
      <c r="E654" s="8" t="s">
        <v>4436</v>
      </c>
      <c r="F654" s="11" t="s">
        <v>195</v>
      </c>
      <c r="G654" s="11" t="s">
        <v>24</v>
      </c>
      <c r="H654" s="1"/>
      <c r="I654" s="1"/>
      <c r="J654" s="1"/>
    </row>
    <row r="655" spans="1:10" x14ac:dyDescent="0.25">
      <c r="A655" s="8" t="s">
        <v>4433</v>
      </c>
      <c r="B655" s="8" t="s">
        <v>5610</v>
      </c>
      <c r="C655" s="31" t="s">
        <v>5611</v>
      </c>
      <c r="D655" s="8" t="s">
        <v>1877</v>
      </c>
      <c r="E655" s="8" t="s">
        <v>4442</v>
      </c>
      <c r="F655" s="11" t="s">
        <v>24</v>
      </c>
      <c r="G655" s="11" t="s">
        <v>24</v>
      </c>
      <c r="H655" s="1"/>
      <c r="I655" s="1"/>
      <c r="J655" s="1"/>
    </row>
    <row r="656" spans="1:10" x14ac:dyDescent="0.25">
      <c r="A656" s="8" t="s">
        <v>4433</v>
      </c>
      <c r="B656" s="8" t="s">
        <v>5612</v>
      </c>
      <c r="C656" s="31" t="s">
        <v>5613</v>
      </c>
      <c r="D656" s="8" t="s">
        <v>1917</v>
      </c>
      <c r="E656" s="8" t="s">
        <v>4442</v>
      </c>
      <c r="F656" s="11" t="s">
        <v>24</v>
      </c>
      <c r="G656" s="11" t="s">
        <v>24</v>
      </c>
      <c r="H656" s="1"/>
      <c r="I656" s="1"/>
      <c r="J656" s="1"/>
    </row>
    <row r="657" spans="1:10" x14ac:dyDescent="0.25">
      <c r="A657" s="8" t="s">
        <v>4433</v>
      </c>
      <c r="B657" s="8" t="s">
        <v>5614</v>
      </c>
      <c r="C657" s="31" t="s">
        <v>5615</v>
      </c>
      <c r="D657" s="8" t="s">
        <v>1917</v>
      </c>
      <c r="E657" s="8" t="s">
        <v>4436</v>
      </c>
      <c r="F657" s="11" t="s">
        <v>195</v>
      </c>
      <c r="G657" s="11" t="s">
        <v>24</v>
      </c>
      <c r="H657" s="1"/>
      <c r="I657" s="1"/>
      <c r="J657" s="1"/>
    </row>
    <row r="658" spans="1:10" x14ac:dyDescent="0.25">
      <c r="A658" s="8" t="s">
        <v>4433</v>
      </c>
      <c r="B658" s="8" t="s">
        <v>5616</v>
      </c>
      <c r="C658" s="31" t="s">
        <v>3752</v>
      </c>
      <c r="D658" s="8" t="s">
        <v>1877</v>
      </c>
      <c r="E658" s="8" t="s">
        <v>4463</v>
      </c>
      <c r="F658" s="11" t="s">
        <v>24</v>
      </c>
      <c r="G658" s="11" t="s">
        <v>24</v>
      </c>
      <c r="H658" s="1"/>
      <c r="I658" s="1"/>
      <c r="J658" s="1"/>
    </row>
    <row r="659" spans="1:10" x14ac:dyDescent="0.25">
      <c r="A659" s="8" t="s">
        <v>4433</v>
      </c>
      <c r="B659" s="8" t="s">
        <v>5617</v>
      </c>
      <c r="C659" s="31" t="s">
        <v>5618</v>
      </c>
      <c r="D659" s="8" t="s">
        <v>1877</v>
      </c>
      <c r="E659" s="8" t="s">
        <v>4471</v>
      </c>
      <c r="F659" s="11" t="s">
        <v>24</v>
      </c>
      <c r="G659" s="11" t="s">
        <v>24</v>
      </c>
      <c r="H659" s="1"/>
      <c r="I659" s="1"/>
      <c r="J659" s="1"/>
    </row>
    <row r="660" spans="1:10" x14ac:dyDescent="0.25">
      <c r="A660" s="8" t="s">
        <v>4433</v>
      </c>
      <c r="B660" s="8" t="s">
        <v>5619</v>
      </c>
      <c r="C660" s="31" t="s">
        <v>3694</v>
      </c>
      <c r="D660" s="8" t="s">
        <v>1877</v>
      </c>
      <c r="E660" s="8" t="s">
        <v>4439</v>
      </c>
      <c r="F660" s="11" t="s">
        <v>24</v>
      </c>
      <c r="G660" s="11" t="s">
        <v>24</v>
      </c>
      <c r="H660" s="1"/>
      <c r="I660" s="1"/>
      <c r="J660" s="1"/>
    </row>
    <row r="661" spans="1:10" x14ac:dyDescent="0.25">
      <c r="A661" s="8" t="s">
        <v>4433</v>
      </c>
      <c r="B661" s="8" t="s">
        <v>5620</v>
      </c>
      <c r="C661" s="31" t="s">
        <v>5621</v>
      </c>
      <c r="D661" s="8" t="s">
        <v>1877</v>
      </c>
      <c r="E661" s="8" t="s">
        <v>4450</v>
      </c>
      <c r="F661" s="11" t="s">
        <v>24</v>
      </c>
      <c r="G661" s="11" t="s">
        <v>24</v>
      </c>
      <c r="H661" s="1"/>
      <c r="I661" s="1"/>
      <c r="J661" s="1"/>
    </row>
    <row r="662" spans="1:10" x14ac:dyDescent="0.25">
      <c r="A662" s="8" t="s">
        <v>4433</v>
      </c>
      <c r="B662" s="8" t="s">
        <v>5622</v>
      </c>
      <c r="C662" s="31" t="s">
        <v>5623</v>
      </c>
      <c r="D662" s="8" t="s">
        <v>1877</v>
      </c>
      <c r="E662" s="8" t="s">
        <v>4442</v>
      </c>
      <c r="F662" s="11" t="s">
        <v>195</v>
      </c>
      <c r="G662" s="11" t="s">
        <v>24</v>
      </c>
      <c r="H662" s="1"/>
      <c r="I662" s="1"/>
      <c r="J662" s="1"/>
    </row>
    <row r="663" spans="1:10" x14ac:dyDescent="0.25">
      <c r="A663" s="8" t="s">
        <v>4433</v>
      </c>
      <c r="B663" s="8" t="s">
        <v>5624</v>
      </c>
      <c r="C663" s="31" t="s">
        <v>5625</v>
      </c>
      <c r="D663" s="8" t="s">
        <v>1877</v>
      </c>
      <c r="E663" s="8" t="s">
        <v>4468</v>
      </c>
      <c r="F663" s="11" t="s">
        <v>24</v>
      </c>
      <c r="G663" s="11" t="s">
        <v>24</v>
      </c>
      <c r="H663" s="1"/>
      <c r="I663" s="1"/>
      <c r="J663" s="1"/>
    </row>
    <row r="664" spans="1:10" x14ac:dyDescent="0.25">
      <c r="A664" s="8" t="s">
        <v>4433</v>
      </c>
      <c r="B664" s="8" t="s">
        <v>5626</v>
      </c>
      <c r="C664" s="31" t="s">
        <v>5627</v>
      </c>
      <c r="D664" s="8" t="s">
        <v>1877</v>
      </c>
      <c r="E664" s="8" t="s">
        <v>4436</v>
      </c>
      <c r="F664" s="11" t="s">
        <v>24</v>
      </c>
      <c r="G664" s="11" t="s">
        <v>24</v>
      </c>
      <c r="H664" s="1"/>
      <c r="I664" s="1"/>
      <c r="J664" s="1"/>
    </row>
    <row r="665" spans="1:10" x14ac:dyDescent="0.25">
      <c r="A665" s="8" t="s">
        <v>4433</v>
      </c>
      <c r="B665" s="8" t="s">
        <v>5628</v>
      </c>
      <c r="C665" s="31" t="s">
        <v>5629</v>
      </c>
      <c r="D665" s="8" t="s">
        <v>1877</v>
      </c>
      <c r="E665" s="8" t="s">
        <v>4442</v>
      </c>
      <c r="F665" s="11" t="s">
        <v>195</v>
      </c>
      <c r="G665" s="11" t="s">
        <v>24</v>
      </c>
      <c r="H665" s="1"/>
      <c r="I665" s="1"/>
      <c r="J665" s="1"/>
    </row>
    <row r="666" spans="1:10" x14ac:dyDescent="0.25">
      <c r="A666" s="8" t="s">
        <v>4433</v>
      </c>
      <c r="B666" s="8" t="s">
        <v>5630</v>
      </c>
      <c r="C666" s="31" t="s">
        <v>5631</v>
      </c>
      <c r="D666" s="8" t="s">
        <v>1877</v>
      </c>
      <c r="E666" s="8" t="s">
        <v>4463</v>
      </c>
      <c r="F666" s="11" t="s">
        <v>24</v>
      </c>
      <c r="G666" s="11" t="s">
        <v>24</v>
      </c>
      <c r="H666" s="1"/>
      <c r="I666" s="1"/>
      <c r="J666" s="1"/>
    </row>
    <row r="667" spans="1:10" x14ac:dyDescent="0.25">
      <c r="A667" s="8" t="s">
        <v>4433</v>
      </c>
      <c r="B667" s="8" t="s">
        <v>5632</v>
      </c>
      <c r="C667" s="31" t="s">
        <v>5633</v>
      </c>
      <c r="D667" s="8" t="s">
        <v>1877</v>
      </c>
      <c r="E667" s="8" t="s">
        <v>4442</v>
      </c>
      <c r="F667" s="11" t="s">
        <v>24</v>
      </c>
      <c r="G667" s="11" t="s">
        <v>24</v>
      </c>
      <c r="H667" s="1"/>
      <c r="I667" s="1"/>
      <c r="J667" s="1"/>
    </row>
    <row r="668" spans="1:10" x14ac:dyDescent="0.25">
      <c r="A668" s="8" t="s">
        <v>4433</v>
      </c>
      <c r="B668" s="8" t="s">
        <v>5634</v>
      </c>
      <c r="C668" s="31" t="s">
        <v>5635</v>
      </c>
      <c r="D668" s="8" t="s">
        <v>1881</v>
      </c>
      <c r="E668" s="8" t="s">
        <v>4442</v>
      </c>
      <c r="F668" s="11" t="s">
        <v>195</v>
      </c>
      <c r="G668" s="11" t="s">
        <v>24</v>
      </c>
      <c r="H668" s="1"/>
      <c r="I668" s="1"/>
      <c r="J668" s="1"/>
    </row>
    <row r="669" spans="1:10" x14ac:dyDescent="0.25">
      <c r="A669" s="8" t="s">
        <v>4433</v>
      </c>
      <c r="B669" s="8" t="s">
        <v>5636</v>
      </c>
      <c r="C669" s="31" t="s">
        <v>5637</v>
      </c>
      <c r="D669" s="8" t="s">
        <v>1877</v>
      </c>
      <c r="E669" s="8" t="s">
        <v>4439</v>
      </c>
      <c r="F669" s="11" t="s">
        <v>24</v>
      </c>
      <c r="G669" s="11" t="s">
        <v>24</v>
      </c>
      <c r="H669" s="1"/>
      <c r="I669" s="1"/>
      <c r="J669" s="1"/>
    </row>
    <row r="670" spans="1:10" x14ac:dyDescent="0.25">
      <c r="A670" s="8" t="s">
        <v>4433</v>
      </c>
      <c r="B670" s="8" t="s">
        <v>5638</v>
      </c>
      <c r="C670" s="31" t="s">
        <v>5639</v>
      </c>
      <c r="D670" s="8" t="s">
        <v>1877</v>
      </c>
      <c r="E670" s="8" t="s">
        <v>4450</v>
      </c>
      <c r="F670" s="11" t="s">
        <v>24</v>
      </c>
      <c r="G670" s="11" t="s">
        <v>24</v>
      </c>
      <c r="H670" s="1"/>
      <c r="I670" s="1"/>
      <c r="J670" s="1"/>
    </row>
    <row r="671" spans="1:10" x14ac:dyDescent="0.25">
      <c r="A671" s="8" t="s">
        <v>4433</v>
      </c>
      <c r="B671" s="8" t="s">
        <v>5640</v>
      </c>
      <c r="C671" s="31" t="s">
        <v>5641</v>
      </c>
      <c r="D671" s="8" t="s">
        <v>1877</v>
      </c>
      <c r="E671" s="8" t="s">
        <v>4436</v>
      </c>
      <c r="F671" s="11" t="s">
        <v>195</v>
      </c>
      <c r="G671" s="11" t="s">
        <v>24</v>
      </c>
      <c r="H671" s="1"/>
      <c r="I671" s="1"/>
      <c r="J671" s="1"/>
    </row>
    <row r="672" spans="1:10" x14ac:dyDescent="0.25">
      <c r="A672" s="8" t="s">
        <v>4433</v>
      </c>
      <c r="B672" s="8" t="s">
        <v>5642</v>
      </c>
      <c r="C672" s="31" t="s">
        <v>5643</v>
      </c>
      <c r="D672" s="8" t="s">
        <v>1877</v>
      </c>
      <c r="E672" s="8" t="s">
        <v>4490</v>
      </c>
      <c r="F672" s="11" t="s">
        <v>24</v>
      </c>
      <c r="G672" s="11" t="s">
        <v>24</v>
      </c>
      <c r="H672" s="1"/>
      <c r="I672" s="1"/>
      <c r="J672" s="1"/>
    </row>
    <row r="673" spans="1:10" x14ac:dyDescent="0.25">
      <c r="A673" s="8" t="s">
        <v>4433</v>
      </c>
      <c r="B673" s="8" t="s">
        <v>5644</v>
      </c>
      <c r="C673" s="31" t="s">
        <v>5645</v>
      </c>
      <c r="D673" s="8" t="s">
        <v>1877</v>
      </c>
      <c r="E673" s="8" t="s">
        <v>4436</v>
      </c>
      <c r="F673" s="11" t="s">
        <v>195</v>
      </c>
      <c r="G673" s="11" t="s">
        <v>24</v>
      </c>
      <c r="H673" s="1"/>
      <c r="I673" s="1"/>
      <c r="J673" s="1"/>
    </row>
    <row r="674" spans="1:10" x14ac:dyDescent="0.25">
      <c r="A674" s="8" t="s">
        <v>4433</v>
      </c>
      <c r="B674" s="8" t="s">
        <v>5646</v>
      </c>
      <c r="C674" s="31" t="s">
        <v>3820</v>
      </c>
      <c r="D674" s="8" t="s">
        <v>1881</v>
      </c>
      <c r="E674" s="8" t="s">
        <v>4436</v>
      </c>
      <c r="F674" s="11" t="s">
        <v>195</v>
      </c>
      <c r="G674" s="11" t="s">
        <v>24</v>
      </c>
      <c r="H674" s="1"/>
      <c r="I674" s="1"/>
      <c r="J674" s="1"/>
    </row>
    <row r="675" spans="1:10" x14ac:dyDescent="0.25">
      <c r="A675" s="8" t="s">
        <v>4433</v>
      </c>
      <c r="B675" s="8" t="s">
        <v>5647</v>
      </c>
      <c r="C675" s="31" t="s">
        <v>5648</v>
      </c>
      <c r="D675" s="8" t="s">
        <v>1877</v>
      </c>
      <c r="E675" s="8" t="s">
        <v>4436</v>
      </c>
      <c r="F675" s="11" t="s">
        <v>24</v>
      </c>
      <c r="G675" s="11" t="s">
        <v>24</v>
      </c>
      <c r="H675" s="1"/>
      <c r="I675" s="1"/>
      <c r="J675" s="1"/>
    </row>
    <row r="676" spans="1:10" x14ac:dyDescent="0.25">
      <c r="A676" s="8" t="s">
        <v>4433</v>
      </c>
      <c r="B676" s="8" t="s">
        <v>5649</v>
      </c>
      <c r="C676" s="31" t="s">
        <v>5650</v>
      </c>
      <c r="D676" s="8" t="s">
        <v>1877</v>
      </c>
      <c r="E676" s="8" t="s">
        <v>4442</v>
      </c>
      <c r="F676" s="11" t="s">
        <v>24</v>
      </c>
      <c r="G676" s="11" t="s">
        <v>24</v>
      </c>
      <c r="H676" s="1"/>
      <c r="I676" s="1"/>
      <c r="J676" s="1"/>
    </row>
    <row r="677" spans="1:10" x14ac:dyDescent="0.25">
      <c r="A677" s="8" t="s">
        <v>4433</v>
      </c>
      <c r="B677" s="8" t="s">
        <v>5651</v>
      </c>
      <c r="C677" s="31" t="s">
        <v>5652</v>
      </c>
      <c r="D677" s="8" t="s">
        <v>1877</v>
      </c>
      <c r="E677" s="8" t="s">
        <v>4463</v>
      </c>
      <c r="F677" s="11" t="s">
        <v>24</v>
      </c>
      <c r="G677" s="11" t="s">
        <v>24</v>
      </c>
      <c r="H677" s="1"/>
      <c r="I677" s="1"/>
      <c r="J677" s="1"/>
    </row>
    <row r="678" spans="1:10" x14ac:dyDescent="0.25">
      <c r="A678" s="8" t="s">
        <v>4433</v>
      </c>
      <c r="B678" s="8" t="s">
        <v>5651</v>
      </c>
      <c r="C678" s="31" t="s">
        <v>5653</v>
      </c>
      <c r="D678" s="8" t="s">
        <v>1877</v>
      </c>
      <c r="E678" s="8" t="s">
        <v>4439</v>
      </c>
      <c r="F678" s="11" t="s">
        <v>24</v>
      </c>
      <c r="G678" s="11" t="s">
        <v>24</v>
      </c>
      <c r="H678" s="1"/>
      <c r="I678" s="1"/>
      <c r="J678" s="1"/>
    </row>
    <row r="679" spans="1:10" x14ac:dyDescent="0.25">
      <c r="A679" s="8" t="s">
        <v>4433</v>
      </c>
      <c r="B679" s="8" t="s">
        <v>5654</v>
      </c>
      <c r="C679" s="31" t="s">
        <v>5655</v>
      </c>
      <c r="D679" s="8" t="s">
        <v>1877</v>
      </c>
      <c r="E679" s="8" t="s">
        <v>4540</v>
      </c>
      <c r="F679" s="11" t="s">
        <v>24</v>
      </c>
      <c r="G679" s="11" t="s">
        <v>24</v>
      </c>
      <c r="H679" s="1"/>
      <c r="I679" s="1"/>
      <c r="J679" s="1"/>
    </row>
    <row r="680" spans="1:10" x14ac:dyDescent="0.25">
      <c r="A680" s="8" t="s">
        <v>4433</v>
      </c>
      <c r="B680" s="8" t="s">
        <v>5656</v>
      </c>
      <c r="C680" s="31" t="s">
        <v>5657</v>
      </c>
      <c r="D680" s="8" t="s">
        <v>1877</v>
      </c>
      <c r="E680" s="8" t="s">
        <v>4442</v>
      </c>
      <c r="F680" s="11" t="s">
        <v>195</v>
      </c>
      <c r="G680" s="11" t="s">
        <v>24</v>
      </c>
      <c r="H680" s="1"/>
      <c r="I680" s="1"/>
      <c r="J680" s="1"/>
    </row>
    <row r="681" spans="1:10" x14ac:dyDescent="0.25">
      <c r="A681" s="8" t="s">
        <v>4433</v>
      </c>
      <c r="B681" s="8" t="s">
        <v>5658</v>
      </c>
      <c r="C681" s="31" t="s">
        <v>5659</v>
      </c>
      <c r="D681" s="8" t="s">
        <v>1877</v>
      </c>
      <c r="E681" s="8" t="s">
        <v>4468</v>
      </c>
      <c r="F681" s="11" t="s">
        <v>24</v>
      </c>
      <c r="G681" s="11" t="s">
        <v>24</v>
      </c>
      <c r="H681" s="1"/>
      <c r="I681" s="1"/>
      <c r="J681" s="1"/>
    </row>
    <row r="682" spans="1:10" x14ac:dyDescent="0.25">
      <c r="A682" s="8" t="s">
        <v>4433</v>
      </c>
      <c r="B682" s="8" t="s">
        <v>5660</v>
      </c>
      <c r="C682" s="31" t="s">
        <v>5661</v>
      </c>
      <c r="D682" s="8" t="s">
        <v>1877</v>
      </c>
      <c r="E682" s="8" t="s">
        <v>4439</v>
      </c>
      <c r="F682" s="11" t="s">
        <v>24</v>
      </c>
      <c r="G682" s="11" t="s">
        <v>24</v>
      </c>
      <c r="H682" s="1"/>
      <c r="I682" s="1"/>
      <c r="J682" s="1"/>
    </row>
    <row r="683" spans="1:10" x14ac:dyDescent="0.25">
      <c r="A683" s="8" t="s">
        <v>4433</v>
      </c>
      <c r="B683" s="8" t="s">
        <v>5662</v>
      </c>
      <c r="C683" s="31" t="s">
        <v>3834</v>
      </c>
      <c r="D683" s="8" t="s">
        <v>1877</v>
      </c>
      <c r="E683" s="8" t="s">
        <v>4442</v>
      </c>
      <c r="F683" s="11" t="s">
        <v>24</v>
      </c>
      <c r="G683" s="11" t="s">
        <v>24</v>
      </c>
      <c r="H683" s="1"/>
      <c r="I683" s="1"/>
      <c r="J683" s="1"/>
    </row>
    <row r="684" spans="1:10" x14ac:dyDescent="0.25">
      <c r="A684" s="8" t="s">
        <v>4433</v>
      </c>
      <c r="B684" s="8" t="s">
        <v>5663</v>
      </c>
      <c r="C684" s="31" t="s">
        <v>5664</v>
      </c>
      <c r="D684" s="8" t="s">
        <v>1877</v>
      </c>
      <c r="E684" s="8" t="s">
        <v>4499</v>
      </c>
      <c r="F684" s="11" t="s">
        <v>24</v>
      </c>
      <c r="G684" s="11" t="s">
        <v>24</v>
      </c>
      <c r="H684" s="1"/>
      <c r="I684" s="1"/>
      <c r="J684" s="1"/>
    </row>
    <row r="685" spans="1:10" x14ac:dyDescent="0.25">
      <c r="A685" s="8" t="s">
        <v>4433</v>
      </c>
      <c r="B685" s="8" t="s">
        <v>5665</v>
      </c>
      <c r="C685" s="31" t="s">
        <v>5666</v>
      </c>
      <c r="D685" s="8" t="s">
        <v>1877</v>
      </c>
      <c r="E685" s="8" t="s">
        <v>4473</v>
      </c>
      <c r="F685" s="11" t="s">
        <v>24</v>
      </c>
      <c r="G685" s="11" t="s">
        <v>24</v>
      </c>
      <c r="H685" s="1"/>
      <c r="I685" s="1"/>
      <c r="J685" s="1"/>
    </row>
    <row r="686" spans="1:10" x14ac:dyDescent="0.25">
      <c r="A686" s="8" t="s">
        <v>4433</v>
      </c>
      <c r="B686" s="8" t="s">
        <v>5667</v>
      </c>
      <c r="C686" s="31" t="s">
        <v>5668</v>
      </c>
      <c r="D686" s="8" t="s">
        <v>1877</v>
      </c>
      <c r="E686" s="8" t="s">
        <v>4439</v>
      </c>
      <c r="F686" s="11" t="s">
        <v>24</v>
      </c>
      <c r="G686" s="11" t="s">
        <v>24</v>
      </c>
      <c r="H686" s="1"/>
      <c r="I686" s="1"/>
      <c r="J686" s="1"/>
    </row>
    <row r="687" spans="1:10" x14ac:dyDescent="0.25">
      <c r="A687" s="8" t="s">
        <v>4433</v>
      </c>
      <c r="B687" s="8" t="s">
        <v>5669</v>
      </c>
      <c r="C687" s="31" t="s">
        <v>5670</v>
      </c>
      <c r="D687" s="8" t="s">
        <v>1877</v>
      </c>
      <c r="E687" s="8" t="s">
        <v>4442</v>
      </c>
      <c r="F687" s="11" t="s">
        <v>24</v>
      </c>
      <c r="G687" s="11" t="s">
        <v>24</v>
      </c>
      <c r="H687" s="1"/>
      <c r="I687" s="1"/>
      <c r="J687" s="1"/>
    </row>
    <row r="688" spans="1:10" x14ac:dyDescent="0.25">
      <c r="A688" s="8" t="s">
        <v>4433</v>
      </c>
      <c r="B688" s="8" t="s">
        <v>5671</v>
      </c>
      <c r="C688" s="31" t="s">
        <v>3858</v>
      </c>
      <c r="D688" s="8" t="s">
        <v>1877</v>
      </c>
      <c r="E688" s="8" t="s">
        <v>4439</v>
      </c>
      <c r="F688" s="11" t="s">
        <v>24</v>
      </c>
      <c r="G688" s="11" t="s">
        <v>24</v>
      </c>
      <c r="H688" s="1"/>
      <c r="I688" s="1"/>
      <c r="J688" s="1"/>
    </row>
    <row r="689" spans="1:10" x14ac:dyDescent="0.25">
      <c r="A689" s="8" t="s">
        <v>4433</v>
      </c>
      <c r="B689" s="8" t="s">
        <v>5672</v>
      </c>
      <c r="C689" s="31" t="s">
        <v>5673</v>
      </c>
      <c r="D689" s="8" t="s">
        <v>1877</v>
      </c>
      <c r="E689" s="8" t="s">
        <v>4436</v>
      </c>
      <c r="F689" s="11" t="s">
        <v>24</v>
      </c>
      <c r="G689" s="11" t="s">
        <v>24</v>
      </c>
      <c r="H689" s="1"/>
      <c r="I689" s="1"/>
      <c r="J689" s="1"/>
    </row>
    <row r="690" spans="1:10" x14ac:dyDescent="0.25">
      <c r="A690" s="8" t="s">
        <v>4433</v>
      </c>
      <c r="B690" s="8" t="s">
        <v>5674</v>
      </c>
      <c r="C690" s="31" t="s">
        <v>5675</v>
      </c>
      <c r="D690" s="8" t="s">
        <v>1877</v>
      </c>
      <c r="E690" s="8" t="s">
        <v>4436</v>
      </c>
      <c r="F690" s="11" t="s">
        <v>195</v>
      </c>
      <c r="G690" s="11" t="s">
        <v>24</v>
      </c>
      <c r="H690" s="1"/>
      <c r="I690" s="1"/>
      <c r="J690" s="1"/>
    </row>
    <row r="691" spans="1:10" x14ac:dyDescent="0.25">
      <c r="A691" s="8" t="s">
        <v>4433</v>
      </c>
      <c r="B691" s="8" t="s">
        <v>5676</v>
      </c>
      <c r="C691" s="31" t="s">
        <v>5677</v>
      </c>
      <c r="D691" s="8" t="s">
        <v>1877</v>
      </c>
      <c r="E691" s="8" t="s">
        <v>4442</v>
      </c>
      <c r="F691" s="11" t="s">
        <v>195</v>
      </c>
      <c r="G691" s="11" t="s">
        <v>24</v>
      </c>
      <c r="H691" s="1"/>
      <c r="I691" s="1"/>
      <c r="J691" s="1"/>
    </row>
    <row r="692" spans="1:10" x14ac:dyDescent="0.25">
      <c r="A692" s="8" t="s">
        <v>4433</v>
      </c>
      <c r="B692" s="8" t="s">
        <v>5678</v>
      </c>
      <c r="C692" s="31" t="s">
        <v>5679</v>
      </c>
      <c r="D692" s="8" t="s">
        <v>1877</v>
      </c>
      <c r="E692" s="8" t="s">
        <v>4453</v>
      </c>
      <c r="F692" s="11" t="s">
        <v>24</v>
      </c>
      <c r="G692" s="11" t="s">
        <v>24</v>
      </c>
      <c r="H692" s="1"/>
      <c r="I692" s="1"/>
      <c r="J692" s="1"/>
    </row>
    <row r="693" spans="1:10" x14ac:dyDescent="0.25">
      <c r="A693" s="8" t="s">
        <v>4433</v>
      </c>
      <c r="B693" s="8" t="s">
        <v>5680</v>
      </c>
      <c r="C693" s="31" t="s">
        <v>5681</v>
      </c>
      <c r="D693" s="8" t="s">
        <v>1877</v>
      </c>
      <c r="E693" s="8" t="s">
        <v>4442</v>
      </c>
      <c r="F693" s="11" t="s">
        <v>195</v>
      </c>
      <c r="G693" s="11" t="s">
        <v>24</v>
      </c>
      <c r="H693" s="1"/>
      <c r="I693" s="1"/>
      <c r="J693" s="1"/>
    </row>
    <row r="694" spans="1:10" x14ac:dyDescent="0.25">
      <c r="A694" s="8" t="s">
        <v>4433</v>
      </c>
      <c r="B694" s="8" t="s">
        <v>5682</v>
      </c>
      <c r="C694" s="31" t="s">
        <v>5683</v>
      </c>
      <c r="D694" s="8" t="s">
        <v>1877</v>
      </c>
      <c r="E694" s="8" t="s">
        <v>4445</v>
      </c>
      <c r="F694" s="11" t="s">
        <v>24</v>
      </c>
      <c r="G694" s="11" t="s">
        <v>24</v>
      </c>
      <c r="H694" s="1"/>
      <c r="I694" s="1"/>
      <c r="J694" s="1"/>
    </row>
    <row r="695" spans="1:10" x14ac:dyDescent="0.25">
      <c r="A695" s="8" t="s">
        <v>4433</v>
      </c>
      <c r="B695" s="8" t="s">
        <v>5684</v>
      </c>
      <c r="C695" s="31" t="s">
        <v>5685</v>
      </c>
      <c r="D695" s="8" t="s">
        <v>1877</v>
      </c>
      <c r="E695" s="8" t="s">
        <v>4499</v>
      </c>
      <c r="F695" s="11" t="s">
        <v>24</v>
      </c>
      <c r="G695" s="11" t="s">
        <v>24</v>
      </c>
      <c r="H695" s="1"/>
      <c r="I695" s="1"/>
      <c r="J695" s="1"/>
    </row>
    <row r="696" spans="1:10" x14ac:dyDescent="0.25">
      <c r="A696" s="8" t="s">
        <v>4433</v>
      </c>
      <c r="B696" s="8" t="s">
        <v>5686</v>
      </c>
      <c r="C696" s="31" t="s">
        <v>5687</v>
      </c>
      <c r="D696" s="8" t="s">
        <v>1877</v>
      </c>
      <c r="E696" s="8" t="s">
        <v>4436</v>
      </c>
      <c r="F696" s="11" t="s">
        <v>195</v>
      </c>
      <c r="G696" s="11" t="s">
        <v>24</v>
      </c>
      <c r="H696" s="1"/>
      <c r="I696" s="1"/>
      <c r="J696" s="1"/>
    </row>
    <row r="697" spans="1:10" x14ac:dyDescent="0.25">
      <c r="A697" s="8" t="s">
        <v>4433</v>
      </c>
      <c r="B697" s="8" t="s">
        <v>5688</v>
      </c>
      <c r="C697" s="31" t="s">
        <v>5689</v>
      </c>
      <c r="D697" s="8" t="s">
        <v>1877</v>
      </c>
      <c r="E697" s="8" t="s">
        <v>4439</v>
      </c>
      <c r="F697" s="11" t="s">
        <v>24</v>
      </c>
      <c r="G697" s="11" t="s">
        <v>24</v>
      </c>
      <c r="H697" s="1"/>
      <c r="I697" s="1"/>
      <c r="J697" s="1"/>
    </row>
    <row r="698" spans="1:10" x14ac:dyDescent="0.25">
      <c r="A698" s="8" t="s">
        <v>4433</v>
      </c>
      <c r="B698" s="8" t="s">
        <v>5690</v>
      </c>
      <c r="C698" s="31" t="s">
        <v>5691</v>
      </c>
      <c r="D698" s="8" t="s">
        <v>1877</v>
      </c>
      <c r="E698" s="8" t="s">
        <v>4436</v>
      </c>
      <c r="F698" s="11" t="s">
        <v>195</v>
      </c>
      <c r="G698" s="11" t="s">
        <v>24</v>
      </c>
      <c r="H698" s="1"/>
      <c r="I698" s="1"/>
      <c r="J698" s="1"/>
    </row>
    <row r="699" spans="1:10" x14ac:dyDescent="0.25">
      <c r="A699" s="8" t="s">
        <v>4433</v>
      </c>
      <c r="B699" s="8" t="s">
        <v>5692</v>
      </c>
      <c r="C699" s="31" t="s">
        <v>5693</v>
      </c>
      <c r="D699" s="8" t="s">
        <v>1877</v>
      </c>
      <c r="E699" s="8" t="s">
        <v>4436</v>
      </c>
      <c r="F699" s="11" t="s">
        <v>24</v>
      </c>
      <c r="G699" s="11" t="s">
        <v>24</v>
      </c>
      <c r="H699" s="1"/>
      <c r="I699" s="1"/>
      <c r="J699" s="1"/>
    </row>
    <row r="700" spans="1:10" x14ac:dyDescent="0.25">
      <c r="A700" s="8" t="s">
        <v>4433</v>
      </c>
      <c r="B700" s="8" t="s">
        <v>5694</v>
      </c>
      <c r="C700" s="31" t="s">
        <v>5695</v>
      </c>
      <c r="D700" s="8" t="s">
        <v>1877</v>
      </c>
      <c r="E700" s="8" t="s">
        <v>4499</v>
      </c>
      <c r="F700" s="11" t="s">
        <v>24</v>
      </c>
      <c r="G700" s="11" t="s">
        <v>24</v>
      </c>
      <c r="H700" s="1"/>
      <c r="I700" s="1"/>
      <c r="J700" s="1"/>
    </row>
    <row r="701" spans="1:10" x14ac:dyDescent="0.25">
      <c r="A701" s="8" t="s">
        <v>4433</v>
      </c>
      <c r="B701" s="8" t="s">
        <v>5696</v>
      </c>
      <c r="C701" s="31" t="s">
        <v>5697</v>
      </c>
      <c r="D701" s="8" t="s">
        <v>1877</v>
      </c>
      <c r="E701" s="8" t="s">
        <v>4442</v>
      </c>
      <c r="F701" s="11" t="s">
        <v>24</v>
      </c>
      <c r="G701" s="11" t="s">
        <v>24</v>
      </c>
      <c r="H701" s="1"/>
      <c r="I701" s="1"/>
      <c r="J701" s="1"/>
    </row>
    <row r="702" spans="1:10" x14ac:dyDescent="0.25">
      <c r="A702" s="8" t="s">
        <v>4433</v>
      </c>
      <c r="B702" s="8" t="s">
        <v>5698</v>
      </c>
      <c r="C702" s="31" t="s">
        <v>5699</v>
      </c>
      <c r="D702" s="8" t="s">
        <v>1877</v>
      </c>
      <c r="E702" s="8" t="s">
        <v>4445</v>
      </c>
      <c r="F702" s="11" t="s">
        <v>24</v>
      </c>
      <c r="G702" s="11" t="s">
        <v>24</v>
      </c>
      <c r="H702" s="1"/>
      <c r="I702" s="1"/>
      <c r="J702" s="1"/>
    </row>
    <row r="703" spans="1:10" x14ac:dyDescent="0.25">
      <c r="A703" s="8" t="s">
        <v>4433</v>
      </c>
      <c r="B703" s="8" t="s">
        <v>5700</v>
      </c>
      <c r="C703" s="31" t="s">
        <v>5701</v>
      </c>
      <c r="D703" s="8" t="s">
        <v>1877</v>
      </c>
      <c r="E703" s="8" t="s">
        <v>4439</v>
      </c>
      <c r="F703" s="11" t="s">
        <v>24</v>
      </c>
      <c r="G703" s="11" t="s">
        <v>24</v>
      </c>
      <c r="H703" s="1"/>
      <c r="I703" s="1"/>
      <c r="J703" s="1"/>
    </row>
    <row r="704" spans="1:10" x14ac:dyDescent="0.25">
      <c r="A704" s="8" t="s">
        <v>4433</v>
      </c>
      <c r="B704" s="8" t="s">
        <v>5702</v>
      </c>
      <c r="C704" s="31" t="s">
        <v>5703</v>
      </c>
      <c r="D704" s="8" t="s">
        <v>1877</v>
      </c>
      <c r="E704" s="8" t="s">
        <v>4442</v>
      </c>
      <c r="F704" s="11" t="s">
        <v>24</v>
      </c>
      <c r="G704" s="11" t="s">
        <v>24</v>
      </c>
      <c r="H704" s="1"/>
      <c r="I704" s="1"/>
      <c r="J704" s="1"/>
    </row>
    <row r="705" spans="1:10" x14ac:dyDescent="0.25">
      <c r="A705" s="8" t="s">
        <v>4433</v>
      </c>
      <c r="B705" s="8" t="s">
        <v>5704</v>
      </c>
      <c r="C705" s="31" t="s">
        <v>5705</v>
      </c>
      <c r="D705" s="8" t="s">
        <v>1877</v>
      </c>
      <c r="E705" s="8" t="s">
        <v>4473</v>
      </c>
      <c r="F705" s="11" t="s">
        <v>24</v>
      </c>
      <c r="G705" s="11" t="s">
        <v>24</v>
      </c>
      <c r="H705" s="1"/>
      <c r="I705" s="1"/>
      <c r="J705" s="1"/>
    </row>
    <row r="706" spans="1:10" x14ac:dyDescent="0.25">
      <c r="A706" s="8" t="s">
        <v>4433</v>
      </c>
      <c r="B706" s="8" t="s">
        <v>5706</v>
      </c>
      <c r="C706" s="31" t="s">
        <v>5707</v>
      </c>
      <c r="D706" s="8" t="s">
        <v>1877</v>
      </c>
      <c r="E706" s="8" t="s">
        <v>4468</v>
      </c>
      <c r="F706" s="11" t="s">
        <v>24</v>
      </c>
      <c r="G706" s="11" t="s">
        <v>24</v>
      </c>
      <c r="H706" s="1"/>
      <c r="I706" s="1"/>
      <c r="J706" s="1"/>
    </row>
    <row r="707" spans="1:10" x14ac:dyDescent="0.25">
      <c r="A707" s="8" t="s">
        <v>4433</v>
      </c>
      <c r="B707" s="8" t="s">
        <v>5708</v>
      </c>
      <c r="C707" s="31" t="s">
        <v>5709</v>
      </c>
      <c r="D707" s="8" t="s">
        <v>1877</v>
      </c>
      <c r="E707" s="8" t="s">
        <v>4439</v>
      </c>
      <c r="F707" s="11" t="s">
        <v>24</v>
      </c>
      <c r="G707" s="11" t="s">
        <v>24</v>
      </c>
      <c r="H707" s="1"/>
      <c r="I707" s="1"/>
      <c r="J707" s="1"/>
    </row>
    <row r="708" spans="1:10" x14ac:dyDescent="0.25">
      <c r="A708" s="8" t="s">
        <v>4433</v>
      </c>
      <c r="B708" s="8" t="s">
        <v>5710</v>
      </c>
      <c r="C708" s="31" t="s">
        <v>5711</v>
      </c>
      <c r="D708" s="8" t="s">
        <v>1877</v>
      </c>
      <c r="E708" s="8" t="s">
        <v>4450</v>
      </c>
      <c r="F708" s="11" t="s">
        <v>24</v>
      </c>
      <c r="G708" s="11" t="s">
        <v>24</v>
      </c>
      <c r="H708" s="1"/>
      <c r="I708" s="1"/>
      <c r="J708" s="1"/>
    </row>
    <row r="709" spans="1:10" x14ac:dyDescent="0.25">
      <c r="A709" s="8" t="s">
        <v>4433</v>
      </c>
      <c r="B709" s="8" t="s">
        <v>5712</v>
      </c>
      <c r="C709" s="31" t="s">
        <v>5713</v>
      </c>
      <c r="D709" s="8" t="s">
        <v>1877</v>
      </c>
      <c r="E709" s="8" t="s">
        <v>4442</v>
      </c>
      <c r="F709" s="11" t="s">
        <v>195</v>
      </c>
      <c r="G709" s="11" t="s">
        <v>24</v>
      </c>
      <c r="H709" s="1"/>
      <c r="I709" s="1"/>
      <c r="J709" s="1"/>
    </row>
    <row r="710" spans="1:10" x14ac:dyDescent="0.25">
      <c r="A710" s="8" t="s">
        <v>4433</v>
      </c>
      <c r="B710" s="8" t="s">
        <v>5714</v>
      </c>
      <c r="C710" s="31" t="s">
        <v>5715</v>
      </c>
      <c r="D710" s="8" t="s">
        <v>1877</v>
      </c>
      <c r="E710" s="8" t="s">
        <v>4454</v>
      </c>
      <c r="F710" s="11" t="s">
        <v>24</v>
      </c>
      <c r="G710" s="11" t="s">
        <v>24</v>
      </c>
      <c r="H710" s="1"/>
      <c r="I710" s="1"/>
      <c r="J710" s="1"/>
    </row>
    <row r="711" spans="1:10" x14ac:dyDescent="0.25">
      <c r="A711" s="8" t="s">
        <v>4433</v>
      </c>
      <c r="B711" s="8" t="s">
        <v>5716</v>
      </c>
      <c r="C711" s="31" t="s">
        <v>5717</v>
      </c>
      <c r="D711" s="8" t="s">
        <v>1894</v>
      </c>
      <c r="E711" s="8" t="s">
        <v>4439</v>
      </c>
      <c r="F711" s="11" t="s">
        <v>24</v>
      </c>
      <c r="G711" s="11" t="s">
        <v>24</v>
      </c>
      <c r="H711" s="1"/>
      <c r="I711" s="1"/>
      <c r="J711" s="1"/>
    </row>
    <row r="712" spans="1:10" x14ac:dyDescent="0.25">
      <c r="A712" s="8" t="s">
        <v>4433</v>
      </c>
      <c r="B712" s="8" t="s">
        <v>5718</v>
      </c>
      <c r="C712" s="31">
        <v>1928</v>
      </c>
      <c r="D712" s="8" t="s">
        <v>1877</v>
      </c>
      <c r="E712" s="8" t="s">
        <v>4501</v>
      </c>
      <c r="F712" s="11" t="s">
        <v>24</v>
      </c>
      <c r="G712" s="11" t="s">
        <v>24</v>
      </c>
      <c r="H712" s="1"/>
      <c r="I712" s="1"/>
      <c r="J712" s="1"/>
    </row>
    <row r="713" spans="1:10" x14ac:dyDescent="0.25">
      <c r="A713" s="8" t="s">
        <v>4433</v>
      </c>
      <c r="B713" s="8" t="s">
        <v>5719</v>
      </c>
      <c r="C713" s="31" t="s">
        <v>5720</v>
      </c>
      <c r="D713" s="8" t="s">
        <v>1877</v>
      </c>
      <c r="E713" s="8" t="s">
        <v>4454</v>
      </c>
      <c r="F713" s="11" t="s">
        <v>24</v>
      </c>
      <c r="G713" s="11" t="s">
        <v>24</v>
      </c>
      <c r="H713" s="1"/>
      <c r="I713" s="1"/>
      <c r="J713" s="1"/>
    </row>
    <row r="714" spans="1:10" x14ac:dyDescent="0.25">
      <c r="A714" s="8" t="s">
        <v>4433</v>
      </c>
      <c r="B714" s="8" t="s">
        <v>5721</v>
      </c>
      <c r="C714" s="31" t="s">
        <v>5722</v>
      </c>
      <c r="D714" s="8" t="s">
        <v>1877</v>
      </c>
      <c r="E714" s="8" t="s">
        <v>4468</v>
      </c>
      <c r="F714" s="11" t="s">
        <v>24</v>
      </c>
      <c r="G714" s="11" t="s">
        <v>24</v>
      </c>
      <c r="H714" s="1"/>
      <c r="I714" s="1"/>
      <c r="J714" s="1"/>
    </row>
    <row r="715" spans="1:10" x14ac:dyDescent="0.25">
      <c r="A715" s="8" t="s">
        <v>4433</v>
      </c>
      <c r="B715" s="8" t="s">
        <v>5723</v>
      </c>
      <c r="C715" s="31" t="s">
        <v>5724</v>
      </c>
      <c r="D715" s="8" t="s">
        <v>1877</v>
      </c>
      <c r="E715" s="8" t="s">
        <v>4473</v>
      </c>
      <c r="F715" s="11" t="s">
        <v>24</v>
      </c>
      <c r="G715" s="11" t="s">
        <v>24</v>
      </c>
      <c r="H715" s="1"/>
      <c r="I715" s="1"/>
      <c r="J715" s="1"/>
    </row>
    <row r="716" spans="1:10" x14ac:dyDescent="0.25">
      <c r="A716" s="8" t="s">
        <v>4433</v>
      </c>
      <c r="B716" s="8" t="s">
        <v>5725</v>
      </c>
      <c r="C716" s="31" t="s">
        <v>5724</v>
      </c>
      <c r="D716" s="8" t="s">
        <v>1877</v>
      </c>
      <c r="E716" s="8" t="s">
        <v>4499</v>
      </c>
      <c r="F716" s="11" t="s">
        <v>24</v>
      </c>
      <c r="G716" s="11" t="s">
        <v>24</v>
      </c>
      <c r="H716" s="1"/>
      <c r="I716" s="1"/>
      <c r="J716" s="1"/>
    </row>
    <row r="717" spans="1:10" x14ac:dyDescent="0.25">
      <c r="A717" s="8" t="s">
        <v>4433</v>
      </c>
      <c r="B717" s="8" t="s">
        <v>5726</v>
      </c>
      <c r="C717" s="31" t="s">
        <v>5727</v>
      </c>
      <c r="D717" s="8" t="s">
        <v>1991</v>
      </c>
      <c r="E717" s="8" t="s">
        <v>4473</v>
      </c>
      <c r="F717" s="11" t="s">
        <v>24</v>
      </c>
      <c r="G717" s="11" t="s">
        <v>24</v>
      </c>
      <c r="H717" s="1"/>
      <c r="I717" s="1"/>
      <c r="J717" s="1"/>
    </row>
    <row r="718" spans="1:10" x14ac:dyDescent="0.25">
      <c r="A718" s="8" t="s">
        <v>4433</v>
      </c>
      <c r="B718" s="8" t="s">
        <v>5728</v>
      </c>
      <c r="C718" s="31" t="s">
        <v>5729</v>
      </c>
      <c r="D718" s="8" t="s">
        <v>1877</v>
      </c>
      <c r="E718" s="8" t="s">
        <v>4468</v>
      </c>
      <c r="F718" s="11" t="s">
        <v>24</v>
      </c>
      <c r="G718" s="11" t="s">
        <v>24</v>
      </c>
      <c r="H718" s="1"/>
      <c r="I718" s="1"/>
      <c r="J718" s="1"/>
    </row>
    <row r="719" spans="1:10" x14ac:dyDescent="0.25">
      <c r="A719" s="8" t="s">
        <v>4433</v>
      </c>
      <c r="B719" s="8" t="s">
        <v>5730</v>
      </c>
      <c r="C719" s="31" t="s">
        <v>5731</v>
      </c>
      <c r="D719" s="8" t="s">
        <v>1877</v>
      </c>
      <c r="E719" s="8" t="s">
        <v>4768</v>
      </c>
      <c r="F719" s="11" t="s">
        <v>24</v>
      </c>
      <c r="G719" s="11" t="s">
        <v>24</v>
      </c>
      <c r="H719" s="1"/>
      <c r="I719" s="1"/>
      <c r="J719" s="1"/>
    </row>
    <row r="720" spans="1:10" x14ac:dyDescent="0.25">
      <c r="A720" s="8" t="s">
        <v>4433</v>
      </c>
      <c r="B720" s="8" t="s">
        <v>5732</v>
      </c>
      <c r="C720" s="31" t="s">
        <v>5733</v>
      </c>
      <c r="D720" s="8" t="s">
        <v>1877</v>
      </c>
      <c r="E720" s="8" t="s">
        <v>4453</v>
      </c>
      <c r="F720" s="11" t="s">
        <v>24</v>
      </c>
      <c r="G720" s="11" t="s">
        <v>24</v>
      </c>
      <c r="H720" s="1"/>
      <c r="I720" s="1"/>
      <c r="J720" s="1"/>
    </row>
    <row r="721" spans="1:10" x14ac:dyDescent="0.25">
      <c r="A721" s="8" t="s">
        <v>4433</v>
      </c>
      <c r="B721" s="8" t="s">
        <v>5734</v>
      </c>
      <c r="C721" s="31" t="s">
        <v>5735</v>
      </c>
      <c r="D721" s="8" t="s">
        <v>1877</v>
      </c>
      <c r="E721" s="8" t="s">
        <v>4442</v>
      </c>
      <c r="F721" s="11" t="s">
        <v>24</v>
      </c>
      <c r="G721" s="11" t="s">
        <v>24</v>
      </c>
      <c r="H721" s="1"/>
      <c r="I721" s="1"/>
      <c r="J721" s="1"/>
    </row>
    <row r="722" spans="1:10" x14ac:dyDescent="0.25">
      <c r="A722" s="8" t="s">
        <v>4433</v>
      </c>
      <c r="B722" s="8" t="s">
        <v>5736</v>
      </c>
      <c r="C722" s="31" t="s">
        <v>5737</v>
      </c>
      <c r="D722" s="8" t="s">
        <v>1877</v>
      </c>
      <c r="E722" s="8" t="s">
        <v>4468</v>
      </c>
      <c r="F722" s="11" t="s">
        <v>24</v>
      </c>
      <c r="G722" s="11" t="s">
        <v>24</v>
      </c>
      <c r="H722" s="1"/>
      <c r="I722" s="1"/>
      <c r="J722" s="1"/>
    </row>
    <row r="723" spans="1:10" x14ac:dyDescent="0.25">
      <c r="A723" s="8" t="s">
        <v>4433</v>
      </c>
      <c r="B723" s="8" t="s">
        <v>5738</v>
      </c>
      <c r="C723" s="31" t="s">
        <v>3944</v>
      </c>
      <c r="D723" s="8" t="s">
        <v>1877</v>
      </c>
      <c r="E723" s="8" t="s">
        <v>4439</v>
      </c>
      <c r="F723" s="11" t="s">
        <v>24</v>
      </c>
      <c r="G723" s="11" t="s">
        <v>24</v>
      </c>
      <c r="H723" s="1"/>
      <c r="I723" s="1"/>
      <c r="J723" s="1"/>
    </row>
    <row r="724" spans="1:10" x14ac:dyDescent="0.25">
      <c r="A724" s="8" t="s">
        <v>4433</v>
      </c>
      <c r="B724" s="8" t="s">
        <v>5739</v>
      </c>
      <c r="C724" s="31" t="s">
        <v>5740</v>
      </c>
      <c r="D724" s="8" t="s">
        <v>1877</v>
      </c>
      <c r="E724" s="8" t="s">
        <v>4442</v>
      </c>
      <c r="F724" s="11" t="s">
        <v>195</v>
      </c>
      <c r="G724" s="11" t="s">
        <v>24</v>
      </c>
      <c r="H724" s="1"/>
      <c r="I724" s="1"/>
      <c r="J724" s="1"/>
    </row>
    <row r="725" spans="1:10" x14ac:dyDescent="0.25">
      <c r="A725" s="8" t="s">
        <v>4433</v>
      </c>
      <c r="B725" s="8" t="s">
        <v>5741</v>
      </c>
      <c r="C725" s="31" t="s">
        <v>5742</v>
      </c>
      <c r="D725" s="8" t="s">
        <v>1877</v>
      </c>
      <c r="E725" s="8" t="s">
        <v>4439</v>
      </c>
      <c r="F725" s="11" t="s">
        <v>24</v>
      </c>
      <c r="G725" s="11" t="s">
        <v>24</v>
      </c>
      <c r="H725" s="1"/>
      <c r="I725" s="1"/>
      <c r="J725" s="1"/>
    </row>
    <row r="726" spans="1:10" x14ac:dyDescent="0.25">
      <c r="A726" s="8" t="s">
        <v>4433</v>
      </c>
      <c r="B726" s="8" t="s">
        <v>5743</v>
      </c>
      <c r="C726" s="31" t="s">
        <v>5744</v>
      </c>
      <c r="D726" s="8" t="s">
        <v>1894</v>
      </c>
      <c r="E726" s="8" t="s">
        <v>4442</v>
      </c>
      <c r="F726" s="11" t="s">
        <v>195</v>
      </c>
      <c r="G726" s="11" t="s">
        <v>24</v>
      </c>
      <c r="H726" s="1"/>
      <c r="I726" s="1"/>
      <c r="J726" s="1"/>
    </row>
    <row r="727" spans="1:10" x14ac:dyDescent="0.25">
      <c r="A727" s="8" t="s">
        <v>4433</v>
      </c>
      <c r="B727" s="8" t="s">
        <v>5745</v>
      </c>
      <c r="C727" s="31" t="s">
        <v>5746</v>
      </c>
      <c r="D727" s="8" t="s">
        <v>1881</v>
      </c>
      <c r="E727" s="8" t="s">
        <v>4439</v>
      </c>
      <c r="F727" s="11" t="s">
        <v>24</v>
      </c>
      <c r="G727" s="11" t="s">
        <v>24</v>
      </c>
      <c r="H727" s="1"/>
      <c r="I727" s="1"/>
      <c r="J727" s="1"/>
    </row>
    <row r="728" spans="1:10" x14ac:dyDescent="0.25">
      <c r="A728" s="8" t="s">
        <v>4433</v>
      </c>
      <c r="B728" s="8" t="s">
        <v>5747</v>
      </c>
      <c r="C728" s="31" t="s">
        <v>5748</v>
      </c>
      <c r="D728" s="8" t="s">
        <v>1917</v>
      </c>
      <c r="E728" s="8" t="s">
        <v>4442</v>
      </c>
      <c r="F728" s="11" t="s">
        <v>24</v>
      </c>
      <c r="G728" s="11" t="s">
        <v>24</v>
      </c>
      <c r="H728" s="1"/>
      <c r="I728" s="1"/>
      <c r="J728" s="1"/>
    </row>
    <row r="729" spans="1:10" x14ac:dyDescent="0.25">
      <c r="A729" s="8" t="s">
        <v>4433</v>
      </c>
      <c r="B729" s="8" t="s">
        <v>5749</v>
      </c>
      <c r="C729" s="31" t="s">
        <v>5750</v>
      </c>
      <c r="D729" s="8" t="s">
        <v>1877</v>
      </c>
      <c r="E729" s="8" t="s">
        <v>4540</v>
      </c>
      <c r="F729" s="11" t="s">
        <v>24</v>
      </c>
      <c r="G729" s="11" t="s">
        <v>24</v>
      </c>
      <c r="H729" s="1"/>
      <c r="I729" s="1"/>
      <c r="J729" s="1"/>
    </row>
    <row r="730" spans="1:10" x14ac:dyDescent="0.25">
      <c r="A730" s="8" t="s">
        <v>4433</v>
      </c>
      <c r="B730" s="8" t="s">
        <v>5751</v>
      </c>
      <c r="C730" s="31" t="s">
        <v>5752</v>
      </c>
      <c r="D730" s="8" t="s">
        <v>1877</v>
      </c>
      <c r="E730" s="8" t="s">
        <v>4768</v>
      </c>
      <c r="F730" s="11" t="s">
        <v>24</v>
      </c>
      <c r="G730" s="11" t="s">
        <v>24</v>
      </c>
      <c r="H730" s="1"/>
      <c r="I730" s="1"/>
      <c r="J730" s="1"/>
    </row>
    <row r="731" spans="1:10" x14ac:dyDescent="0.25">
      <c r="A731" s="8" t="s">
        <v>4433</v>
      </c>
      <c r="B731" s="8" t="s">
        <v>5753</v>
      </c>
      <c r="C731" s="31" t="s">
        <v>5754</v>
      </c>
      <c r="D731" s="8" t="s">
        <v>1877</v>
      </c>
      <c r="E731" s="8" t="s">
        <v>4442</v>
      </c>
      <c r="F731" s="11" t="s">
        <v>24</v>
      </c>
      <c r="G731" s="11" t="s">
        <v>24</v>
      </c>
      <c r="H731" s="1"/>
      <c r="I731" s="1"/>
      <c r="J731" s="1"/>
    </row>
    <row r="732" spans="1:10" x14ac:dyDescent="0.25">
      <c r="A732" s="8" t="s">
        <v>4433</v>
      </c>
      <c r="B732" s="8" t="s">
        <v>5755</v>
      </c>
      <c r="C732" s="31" t="s">
        <v>5756</v>
      </c>
      <c r="D732" s="8" t="s">
        <v>1877</v>
      </c>
      <c r="E732" s="8" t="s">
        <v>4442</v>
      </c>
      <c r="F732" s="11" t="s">
        <v>195</v>
      </c>
      <c r="G732" s="11" t="s">
        <v>24</v>
      </c>
      <c r="H732" s="1"/>
      <c r="I732" s="1"/>
      <c r="J732" s="1"/>
    </row>
    <row r="733" spans="1:10" x14ac:dyDescent="0.25">
      <c r="A733" s="8" t="s">
        <v>4433</v>
      </c>
      <c r="B733" s="8" t="s">
        <v>5757</v>
      </c>
      <c r="C733" s="31" t="s">
        <v>5758</v>
      </c>
      <c r="D733" s="8" t="s">
        <v>1877</v>
      </c>
      <c r="E733" s="8" t="s">
        <v>4439</v>
      </c>
      <c r="F733" s="11" t="s">
        <v>24</v>
      </c>
      <c r="G733" s="11" t="s">
        <v>24</v>
      </c>
      <c r="H733" s="1"/>
      <c r="I733" s="1"/>
      <c r="J733" s="1"/>
    </row>
    <row r="734" spans="1:10" x14ac:dyDescent="0.25">
      <c r="A734" s="8" t="s">
        <v>4433</v>
      </c>
      <c r="B734" s="8" t="s">
        <v>5759</v>
      </c>
      <c r="C734" s="31" t="s">
        <v>5760</v>
      </c>
      <c r="D734" s="8" t="s">
        <v>1877</v>
      </c>
      <c r="E734" s="8" t="s">
        <v>4453</v>
      </c>
      <c r="F734" s="11" t="s">
        <v>24</v>
      </c>
      <c r="G734" s="11" t="s">
        <v>24</v>
      </c>
      <c r="H734" s="1"/>
      <c r="I734" s="1"/>
      <c r="J734" s="1"/>
    </row>
    <row r="735" spans="1:10" x14ac:dyDescent="0.25">
      <c r="A735" s="8" t="s">
        <v>4433</v>
      </c>
      <c r="B735" s="8" t="s">
        <v>5761</v>
      </c>
      <c r="C735" s="31" t="s">
        <v>5762</v>
      </c>
      <c r="D735" s="8" t="s">
        <v>1877</v>
      </c>
      <c r="E735" s="8" t="s">
        <v>4442</v>
      </c>
      <c r="F735" s="11" t="s">
        <v>24</v>
      </c>
      <c r="G735" s="11" t="s">
        <v>24</v>
      </c>
      <c r="H735" s="1"/>
      <c r="I735" s="1"/>
      <c r="J735" s="1"/>
    </row>
    <row r="736" spans="1:10" x14ac:dyDescent="0.25">
      <c r="A736" s="8" t="s">
        <v>4433</v>
      </c>
      <c r="B736" s="8" t="s">
        <v>5763</v>
      </c>
      <c r="C736" s="31" t="s">
        <v>5764</v>
      </c>
      <c r="D736" s="8" t="s">
        <v>1877</v>
      </c>
      <c r="E736" s="8" t="s">
        <v>4463</v>
      </c>
      <c r="F736" s="11" t="s">
        <v>24</v>
      </c>
      <c r="G736" s="11" t="s">
        <v>24</v>
      </c>
      <c r="H736" s="1"/>
      <c r="I736" s="1"/>
      <c r="J736" s="1"/>
    </row>
    <row r="737" spans="1:10" x14ac:dyDescent="0.25">
      <c r="A737" s="8" t="s">
        <v>4433</v>
      </c>
      <c r="B737" s="8" t="s">
        <v>5763</v>
      </c>
      <c r="C737" s="31" t="s">
        <v>5765</v>
      </c>
      <c r="D737" s="8" t="s">
        <v>1877</v>
      </c>
      <c r="E737" s="8" t="s">
        <v>4439</v>
      </c>
      <c r="F737" s="11" t="s">
        <v>24</v>
      </c>
      <c r="G737" s="11" t="s">
        <v>24</v>
      </c>
      <c r="H737" s="1"/>
      <c r="I737" s="1"/>
      <c r="J737" s="1"/>
    </row>
    <row r="738" spans="1:10" x14ac:dyDescent="0.25">
      <c r="A738" s="8" t="s">
        <v>4433</v>
      </c>
      <c r="B738" s="8" t="s">
        <v>5766</v>
      </c>
      <c r="C738" s="31">
        <v>2313</v>
      </c>
      <c r="D738" s="8" t="s">
        <v>1877</v>
      </c>
      <c r="E738" s="8" t="s">
        <v>4501</v>
      </c>
      <c r="F738" s="11" t="s">
        <v>24</v>
      </c>
      <c r="G738" s="11" t="s">
        <v>24</v>
      </c>
      <c r="H738" s="1"/>
      <c r="I738" s="1"/>
      <c r="J738" s="1"/>
    </row>
    <row r="739" spans="1:10" x14ac:dyDescent="0.25">
      <c r="A739" s="8" t="s">
        <v>4433</v>
      </c>
      <c r="B739" s="8" t="s">
        <v>5767</v>
      </c>
      <c r="C739" s="31" t="s">
        <v>5768</v>
      </c>
      <c r="D739" s="8" t="s">
        <v>1877</v>
      </c>
      <c r="E739" s="8" t="s">
        <v>4442</v>
      </c>
      <c r="F739" s="11" t="s">
        <v>195</v>
      </c>
      <c r="G739" s="11" t="s">
        <v>24</v>
      </c>
      <c r="H739" s="1"/>
      <c r="I739" s="1"/>
      <c r="J739" s="1"/>
    </row>
    <row r="740" spans="1:10" x14ac:dyDescent="0.25">
      <c r="A740" s="8" t="s">
        <v>4433</v>
      </c>
      <c r="B740" s="8" t="s">
        <v>5769</v>
      </c>
      <c r="C740" s="31" t="s">
        <v>5770</v>
      </c>
      <c r="D740" s="8" t="s">
        <v>1877</v>
      </c>
      <c r="E740" s="8" t="s">
        <v>4499</v>
      </c>
      <c r="F740" s="11" t="s">
        <v>24</v>
      </c>
      <c r="G740" s="11" t="s">
        <v>24</v>
      </c>
      <c r="H740" s="1"/>
      <c r="I740" s="1"/>
      <c r="J740" s="1"/>
    </row>
    <row r="741" spans="1:10" x14ac:dyDescent="0.25">
      <c r="A741" s="8" t="s">
        <v>4433</v>
      </c>
      <c r="B741" s="8" t="s">
        <v>5771</v>
      </c>
      <c r="C741" s="31" t="s">
        <v>5770</v>
      </c>
      <c r="D741" s="8" t="s">
        <v>1877</v>
      </c>
      <c r="E741" s="8" t="s">
        <v>4436</v>
      </c>
      <c r="F741" s="11" t="s">
        <v>24</v>
      </c>
      <c r="G741" s="11" t="s">
        <v>24</v>
      </c>
      <c r="H741" s="1"/>
      <c r="I741" s="1"/>
      <c r="J741" s="1"/>
    </row>
    <row r="742" spans="1:10" x14ac:dyDescent="0.25">
      <c r="A742" s="8" t="s">
        <v>4433</v>
      </c>
      <c r="B742" s="8" t="s">
        <v>5772</v>
      </c>
      <c r="C742" s="31" t="s">
        <v>5773</v>
      </c>
      <c r="D742" s="8" t="s">
        <v>1877</v>
      </c>
      <c r="E742" s="8" t="s">
        <v>4473</v>
      </c>
      <c r="F742" s="11" t="s">
        <v>24</v>
      </c>
      <c r="G742" s="11" t="s">
        <v>24</v>
      </c>
      <c r="H742" s="1"/>
      <c r="I742" s="1"/>
      <c r="J742" s="1"/>
    </row>
    <row r="743" spans="1:10" x14ac:dyDescent="0.25">
      <c r="A743" s="8" t="s">
        <v>4433</v>
      </c>
      <c r="B743" s="8" t="s">
        <v>5774</v>
      </c>
      <c r="C743" s="31" t="s">
        <v>2771</v>
      </c>
      <c r="D743" s="8" t="s">
        <v>1877</v>
      </c>
      <c r="E743" s="8" t="s">
        <v>4473</v>
      </c>
      <c r="F743" s="11" t="s">
        <v>24</v>
      </c>
      <c r="G743" s="11" t="s">
        <v>24</v>
      </c>
      <c r="H743" s="1"/>
      <c r="I743" s="1"/>
      <c r="J743" s="1"/>
    </row>
    <row r="744" spans="1:10" x14ac:dyDescent="0.25">
      <c r="A744" s="8" t="s">
        <v>4433</v>
      </c>
      <c r="B744" s="8" t="s">
        <v>5775</v>
      </c>
      <c r="C744" s="31" t="s">
        <v>3958</v>
      </c>
      <c r="D744" s="8" t="s">
        <v>1877</v>
      </c>
      <c r="E744" s="8" t="s">
        <v>4473</v>
      </c>
      <c r="F744" s="11" t="s">
        <v>24</v>
      </c>
      <c r="G744" s="11" t="s">
        <v>24</v>
      </c>
      <c r="H744" s="1"/>
      <c r="I744" s="1"/>
      <c r="J744" s="1"/>
    </row>
    <row r="745" spans="1:10" x14ac:dyDescent="0.25">
      <c r="A745" s="8" t="s">
        <v>4433</v>
      </c>
      <c r="B745" s="8" t="s">
        <v>5776</v>
      </c>
      <c r="C745" s="31" t="s">
        <v>5777</v>
      </c>
      <c r="D745" s="8" t="s">
        <v>1877</v>
      </c>
      <c r="E745" s="8" t="s">
        <v>4453</v>
      </c>
      <c r="F745" s="11" t="s">
        <v>24</v>
      </c>
      <c r="G745" s="11" t="s">
        <v>24</v>
      </c>
      <c r="H745" s="1"/>
      <c r="I745" s="1"/>
      <c r="J745" s="1"/>
    </row>
    <row r="746" spans="1:10" x14ac:dyDescent="0.25">
      <c r="A746" s="8" t="s">
        <v>4433</v>
      </c>
      <c r="B746" s="8" t="s">
        <v>5778</v>
      </c>
      <c r="C746" s="31" t="s">
        <v>3972</v>
      </c>
      <c r="D746" s="8" t="s">
        <v>1881</v>
      </c>
      <c r="E746" s="8" t="s">
        <v>4442</v>
      </c>
      <c r="F746" s="11" t="s">
        <v>24</v>
      </c>
      <c r="G746" s="11" t="s">
        <v>24</v>
      </c>
      <c r="H746" s="1"/>
      <c r="I746" s="1"/>
      <c r="J746" s="1"/>
    </row>
    <row r="747" spans="1:10" x14ac:dyDescent="0.25">
      <c r="A747" s="8" t="s">
        <v>4433</v>
      </c>
      <c r="B747" s="8" t="s">
        <v>5779</v>
      </c>
      <c r="C747" s="31" t="s">
        <v>5780</v>
      </c>
      <c r="D747" s="8" t="s">
        <v>1877</v>
      </c>
      <c r="E747" s="8" t="s">
        <v>4454</v>
      </c>
      <c r="F747" s="11" t="s">
        <v>24</v>
      </c>
      <c r="G747" s="11" t="s">
        <v>24</v>
      </c>
      <c r="H747" s="1"/>
      <c r="I747" s="1"/>
      <c r="J747" s="1"/>
    </row>
    <row r="748" spans="1:10" x14ac:dyDescent="0.25">
      <c r="A748" s="8" t="s">
        <v>4433</v>
      </c>
      <c r="B748" s="8" t="s">
        <v>5781</v>
      </c>
      <c r="C748" s="31" t="s">
        <v>5782</v>
      </c>
      <c r="D748" s="8" t="s">
        <v>1877</v>
      </c>
      <c r="E748" s="8" t="s">
        <v>4768</v>
      </c>
      <c r="F748" s="11" t="s">
        <v>24</v>
      </c>
      <c r="G748" s="11" t="s">
        <v>24</v>
      </c>
      <c r="H748" s="1"/>
      <c r="I748" s="1"/>
      <c r="J748" s="1"/>
    </row>
    <row r="749" spans="1:10" x14ac:dyDescent="0.25">
      <c r="A749" s="8" t="s">
        <v>4433</v>
      </c>
      <c r="B749" s="8" t="s">
        <v>5783</v>
      </c>
      <c r="C749" s="31" t="s">
        <v>5784</v>
      </c>
      <c r="D749" s="8" t="s">
        <v>1877</v>
      </c>
      <c r="E749" s="8" t="s">
        <v>4768</v>
      </c>
      <c r="F749" s="11" t="s">
        <v>24</v>
      </c>
      <c r="G749" s="11" t="s">
        <v>24</v>
      </c>
      <c r="H749" s="1"/>
      <c r="I749" s="1"/>
      <c r="J749" s="1"/>
    </row>
    <row r="750" spans="1:10" x14ac:dyDescent="0.25">
      <c r="A750" s="8" t="s">
        <v>4433</v>
      </c>
      <c r="B750" s="8" t="s">
        <v>5785</v>
      </c>
      <c r="C750" s="31" t="s">
        <v>5786</v>
      </c>
      <c r="D750" s="8" t="s">
        <v>1877</v>
      </c>
      <c r="E750" s="8" t="s">
        <v>4768</v>
      </c>
      <c r="F750" s="11" t="s">
        <v>24</v>
      </c>
      <c r="G750" s="11" t="s">
        <v>24</v>
      </c>
      <c r="H750" s="1"/>
      <c r="I750" s="1"/>
      <c r="J750" s="1"/>
    </row>
    <row r="751" spans="1:10" x14ac:dyDescent="0.25">
      <c r="A751" s="8" t="s">
        <v>4433</v>
      </c>
      <c r="B751" s="8" t="s">
        <v>5787</v>
      </c>
      <c r="C751" s="31" t="s">
        <v>5788</v>
      </c>
      <c r="D751" s="8" t="s">
        <v>1877</v>
      </c>
      <c r="E751" s="8" t="s">
        <v>4768</v>
      </c>
      <c r="F751" s="11" t="s">
        <v>24</v>
      </c>
      <c r="G751" s="11" t="s">
        <v>24</v>
      </c>
      <c r="H751" s="1"/>
      <c r="I751" s="1"/>
      <c r="J751" s="1"/>
    </row>
    <row r="752" spans="1:10" x14ac:dyDescent="0.25">
      <c r="A752" s="8" t="s">
        <v>4433</v>
      </c>
      <c r="B752" s="8" t="s">
        <v>5789</v>
      </c>
      <c r="C752" s="31">
        <v>1177</v>
      </c>
      <c r="D752" s="8" t="s">
        <v>1877</v>
      </c>
      <c r="E752" s="8" t="s">
        <v>4501</v>
      </c>
      <c r="F752" s="11" t="s">
        <v>24</v>
      </c>
      <c r="G752" s="11" t="s">
        <v>24</v>
      </c>
      <c r="H752" s="1"/>
      <c r="I752" s="1"/>
      <c r="J752" s="1"/>
    </row>
    <row r="753" spans="1:10" x14ac:dyDescent="0.25">
      <c r="A753" s="8" t="s">
        <v>4433</v>
      </c>
      <c r="B753" s="8" t="s">
        <v>5790</v>
      </c>
      <c r="C753" s="31" t="s">
        <v>5791</v>
      </c>
      <c r="D753" s="8" t="s">
        <v>1877</v>
      </c>
      <c r="E753" s="8" t="s">
        <v>4436</v>
      </c>
      <c r="F753" s="11" t="s">
        <v>24</v>
      </c>
      <c r="G753" s="11" t="s">
        <v>24</v>
      </c>
      <c r="H753" s="1"/>
      <c r="I753" s="1"/>
      <c r="J753" s="1"/>
    </row>
    <row r="754" spans="1:10" x14ac:dyDescent="0.25">
      <c r="A754" s="8" t="s">
        <v>4433</v>
      </c>
      <c r="B754" s="8" t="s">
        <v>5792</v>
      </c>
      <c r="C754" s="31" t="s">
        <v>5793</v>
      </c>
      <c r="D754" s="8" t="s">
        <v>1877</v>
      </c>
      <c r="E754" s="8" t="s">
        <v>4454</v>
      </c>
      <c r="F754" s="11" t="s">
        <v>24</v>
      </c>
      <c r="G754" s="11" t="s">
        <v>24</v>
      </c>
      <c r="H754" s="1"/>
      <c r="I754" s="1"/>
      <c r="J754" s="1"/>
    </row>
    <row r="755" spans="1:10" x14ac:dyDescent="0.25">
      <c r="A755" s="8" t="s">
        <v>4433</v>
      </c>
      <c r="B755" s="8" t="s">
        <v>5794</v>
      </c>
      <c r="C755" s="31" t="s">
        <v>5795</v>
      </c>
      <c r="D755" s="8" t="s">
        <v>1877</v>
      </c>
      <c r="E755" s="8" t="s">
        <v>4454</v>
      </c>
      <c r="F755" s="11" t="s">
        <v>24</v>
      </c>
      <c r="G755" s="11" t="s">
        <v>24</v>
      </c>
      <c r="H755" s="1"/>
      <c r="I755" s="1"/>
      <c r="J755" s="1"/>
    </row>
    <row r="756" spans="1:10" x14ac:dyDescent="0.25">
      <c r="A756" s="8" t="s">
        <v>4433</v>
      </c>
      <c r="B756" s="8" t="s">
        <v>5796</v>
      </c>
      <c r="C756" s="31" t="s">
        <v>5797</v>
      </c>
      <c r="D756" s="8" t="s">
        <v>1877</v>
      </c>
      <c r="E756" s="8" t="s">
        <v>4439</v>
      </c>
      <c r="F756" s="11" t="s">
        <v>24</v>
      </c>
      <c r="G756" s="11" t="s">
        <v>24</v>
      </c>
      <c r="H756" s="1"/>
      <c r="I756" s="1"/>
      <c r="J756" s="1"/>
    </row>
    <row r="757" spans="1:10" x14ac:dyDescent="0.25">
      <c r="A757" s="8" t="s">
        <v>4433</v>
      </c>
      <c r="B757" s="8" t="s">
        <v>5798</v>
      </c>
      <c r="C757" s="31" t="s">
        <v>5799</v>
      </c>
      <c r="D757" s="8" t="s">
        <v>1877</v>
      </c>
      <c r="E757" s="8" t="s">
        <v>4439</v>
      </c>
      <c r="F757" s="11" t="s">
        <v>24</v>
      </c>
      <c r="G757" s="11" t="s">
        <v>24</v>
      </c>
      <c r="H757" s="1"/>
      <c r="I757" s="1"/>
      <c r="J757" s="1"/>
    </row>
    <row r="758" spans="1:10" x14ac:dyDescent="0.25">
      <c r="A758" s="8" t="s">
        <v>4433</v>
      </c>
      <c r="B758" s="8" t="s">
        <v>5800</v>
      </c>
      <c r="C758" s="31" t="s">
        <v>4012</v>
      </c>
      <c r="D758" s="8" t="s">
        <v>1877</v>
      </c>
      <c r="E758" s="8" t="s">
        <v>4450</v>
      </c>
      <c r="F758" s="11" t="s">
        <v>24</v>
      </c>
      <c r="G758" s="11" t="s">
        <v>24</v>
      </c>
      <c r="H758" s="1"/>
      <c r="I758" s="1"/>
      <c r="J758" s="1"/>
    </row>
    <row r="759" spans="1:10" x14ac:dyDescent="0.25">
      <c r="A759" s="8" t="s">
        <v>4433</v>
      </c>
      <c r="B759" s="8" t="s">
        <v>5801</v>
      </c>
      <c r="C759" s="31" t="s">
        <v>5802</v>
      </c>
      <c r="D759" s="8" t="s">
        <v>1877</v>
      </c>
      <c r="E759" s="8" t="s">
        <v>4442</v>
      </c>
      <c r="F759" s="11" t="s">
        <v>24</v>
      </c>
      <c r="G759" s="11" t="s">
        <v>24</v>
      </c>
      <c r="H759" s="1"/>
      <c r="I759" s="1"/>
      <c r="J759" s="1"/>
    </row>
    <row r="760" spans="1:10" x14ac:dyDescent="0.25">
      <c r="A760" s="8" t="s">
        <v>4433</v>
      </c>
      <c r="B760" s="8" t="s">
        <v>5803</v>
      </c>
      <c r="C760" s="31" t="s">
        <v>5804</v>
      </c>
      <c r="D760" s="8" t="s">
        <v>1877</v>
      </c>
      <c r="E760" s="8" t="s">
        <v>4468</v>
      </c>
      <c r="F760" s="11" t="s">
        <v>24</v>
      </c>
      <c r="G760" s="11" t="s">
        <v>24</v>
      </c>
      <c r="H760" s="1"/>
      <c r="I760" s="1"/>
      <c r="J760" s="1"/>
    </row>
    <row r="761" spans="1:10" x14ac:dyDescent="0.25">
      <c r="A761" s="8" t="s">
        <v>4433</v>
      </c>
      <c r="B761" s="8" t="s">
        <v>5805</v>
      </c>
      <c r="C761" s="31" t="s">
        <v>5806</v>
      </c>
      <c r="D761" s="8" t="s">
        <v>1877</v>
      </c>
      <c r="E761" s="8" t="s">
        <v>4436</v>
      </c>
      <c r="F761" s="11" t="s">
        <v>195</v>
      </c>
      <c r="G761" s="11" t="s">
        <v>24</v>
      </c>
      <c r="H761" s="1"/>
      <c r="I761" s="1"/>
      <c r="J761" s="1"/>
    </row>
    <row r="762" spans="1:10" x14ac:dyDescent="0.25">
      <c r="A762" s="8" t="s">
        <v>4433</v>
      </c>
      <c r="B762" s="8" t="s">
        <v>5807</v>
      </c>
      <c r="C762" s="31" t="s">
        <v>5808</v>
      </c>
      <c r="D762" s="8" t="s">
        <v>1877</v>
      </c>
      <c r="E762" s="8" t="s">
        <v>4471</v>
      </c>
      <c r="F762" s="11" t="s">
        <v>24</v>
      </c>
      <c r="G762" s="11" t="s">
        <v>24</v>
      </c>
      <c r="H762" s="1"/>
      <c r="I762" s="1"/>
      <c r="J762" s="1"/>
    </row>
    <row r="763" spans="1:10" x14ac:dyDescent="0.25">
      <c r="A763" s="8" t="s">
        <v>4433</v>
      </c>
      <c r="B763" s="8" t="s">
        <v>5809</v>
      </c>
      <c r="C763" s="31">
        <v>9984</v>
      </c>
      <c r="D763" s="8" t="s">
        <v>1877</v>
      </c>
      <c r="E763" s="8" t="s">
        <v>4701</v>
      </c>
      <c r="F763" s="11" t="s">
        <v>24</v>
      </c>
      <c r="G763" s="11" t="s">
        <v>24</v>
      </c>
      <c r="H763" s="1"/>
      <c r="I763" s="1"/>
      <c r="J763" s="1"/>
    </row>
    <row r="764" spans="1:10" x14ac:dyDescent="0.25">
      <c r="A764" s="8" t="s">
        <v>4433</v>
      </c>
      <c r="B764" s="8" t="s">
        <v>5810</v>
      </c>
      <c r="C764" s="31" t="s">
        <v>5811</v>
      </c>
      <c r="D764" s="8" t="s">
        <v>1877</v>
      </c>
      <c r="E764" s="8" t="s">
        <v>4471</v>
      </c>
      <c r="F764" s="11" t="s">
        <v>24</v>
      </c>
      <c r="G764" s="11" t="s">
        <v>24</v>
      </c>
      <c r="H764" s="1"/>
      <c r="I764" s="1"/>
      <c r="J764" s="1"/>
    </row>
    <row r="765" spans="1:10" x14ac:dyDescent="0.25">
      <c r="A765" s="8" t="s">
        <v>4433</v>
      </c>
      <c r="B765" s="8" t="s">
        <v>5812</v>
      </c>
      <c r="C765" s="31" t="s">
        <v>5813</v>
      </c>
      <c r="D765" s="8" t="s">
        <v>1877</v>
      </c>
      <c r="E765" s="8" t="s">
        <v>4540</v>
      </c>
      <c r="F765" s="11" t="s">
        <v>24</v>
      </c>
      <c r="G765" s="11" t="s">
        <v>24</v>
      </c>
      <c r="H765" s="1"/>
      <c r="I765" s="1"/>
      <c r="J765" s="1"/>
    </row>
    <row r="766" spans="1:10" x14ac:dyDescent="0.25">
      <c r="A766" s="8" t="s">
        <v>4433</v>
      </c>
      <c r="B766" s="8" t="s">
        <v>5814</v>
      </c>
      <c r="C766" s="31" t="s">
        <v>5815</v>
      </c>
      <c r="D766" s="8" t="s">
        <v>1877</v>
      </c>
      <c r="E766" s="8" t="s">
        <v>4453</v>
      </c>
      <c r="F766" s="11" t="s">
        <v>24</v>
      </c>
      <c r="G766" s="11" t="s">
        <v>24</v>
      </c>
      <c r="H766" s="1"/>
      <c r="I766" s="1"/>
      <c r="J766" s="1"/>
    </row>
    <row r="767" spans="1:10" x14ac:dyDescent="0.25">
      <c r="A767" s="8" t="s">
        <v>4433</v>
      </c>
      <c r="B767" s="8" t="s">
        <v>5816</v>
      </c>
      <c r="C767" s="31" t="s">
        <v>5817</v>
      </c>
      <c r="D767" s="8" t="s">
        <v>1877</v>
      </c>
      <c r="E767" s="8" t="s">
        <v>4499</v>
      </c>
      <c r="F767" s="11" t="s">
        <v>195</v>
      </c>
      <c r="G767" s="11" t="s">
        <v>24</v>
      </c>
      <c r="H767" s="1"/>
      <c r="I767" s="1"/>
      <c r="J767" s="1"/>
    </row>
    <row r="768" spans="1:10" x14ac:dyDescent="0.25">
      <c r="A768" s="8" t="s">
        <v>4433</v>
      </c>
      <c r="B768" s="8" t="s">
        <v>5818</v>
      </c>
      <c r="C768" s="31" t="s">
        <v>5819</v>
      </c>
      <c r="D768" s="8" t="s">
        <v>1877</v>
      </c>
      <c r="E768" s="8" t="s">
        <v>4442</v>
      </c>
      <c r="F768" s="11" t="s">
        <v>24</v>
      </c>
      <c r="G768" s="11" t="s">
        <v>24</v>
      </c>
      <c r="H768" s="1"/>
      <c r="I768" s="1"/>
      <c r="J768" s="1"/>
    </row>
    <row r="769" spans="1:10" x14ac:dyDescent="0.25">
      <c r="A769" s="8" t="s">
        <v>4433</v>
      </c>
      <c r="B769" s="8" t="s">
        <v>5820</v>
      </c>
      <c r="C769" s="31" t="s">
        <v>4006</v>
      </c>
      <c r="D769" s="8" t="s">
        <v>1877</v>
      </c>
      <c r="E769" s="8" t="s">
        <v>4439</v>
      </c>
      <c r="F769" s="11" t="s">
        <v>24</v>
      </c>
      <c r="G769" s="11" t="s">
        <v>24</v>
      </c>
      <c r="H769" s="1"/>
      <c r="I769" s="1"/>
      <c r="J769" s="1"/>
    </row>
    <row r="770" spans="1:10" x14ac:dyDescent="0.25">
      <c r="A770" s="8" t="s">
        <v>4433</v>
      </c>
      <c r="B770" s="8" t="s">
        <v>5821</v>
      </c>
      <c r="C770" s="31" t="s">
        <v>5822</v>
      </c>
      <c r="D770" s="8" t="s">
        <v>1877</v>
      </c>
      <c r="E770" s="8" t="s">
        <v>4442</v>
      </c>
      <c r="F770" s="11" t="s">
        <v>195</v>
      </c>
      <c r="G770" s="11" t="s">
        <v>24</v>
      </c>
      <c r="H770" s="1"/>
      <c r="I770" s="1"/>
      <c r="J770" s="1"/>
    </row>
    <row r="771" spans="1:10" x14ac:dyDescent="0.25">
      <c r="A771" s="8" t="s">
        <v>4433</v>
      </c>
      <c r="B771" s="8" t="s">
        <v>5823</v>
      </c>
      <c r="C771" s="31" t="s">
        <v>5824</v>
      </c>
      <c r="D771" s="8" t="s">
        <v>1917</v>
      </c>
      <c r="E771" s="8" t="s">
        <v>4499</v>
      </c>
      <c r="F771" s="11" t="s">
        <v>195</v>
      </c>
      <c r="G771" s="11" t="s">
        <v>24</v>
      </c>
      <c r="H771" s="1"/>
      <c r="I771" s="1"/>
      <c r="J771" s="1"/>
    </row>
    <row r="772" spans="1:10" x14ac:dyDescent="0.25">
      <c r="A772" s="8" t="s">
        <v>4433</v>
      </c>
      <c r="B772" s="8" t="s">
        <v>5825</v>
      </c>
      <c r="C772" s="31" t="s">
        <v>5826</v>
      </c>
      <c r="D772" s="8" t="s">
        <v>1877</v>
      </c>
      <c r="E772" s="8" t="s">
        <v>4439</v>
      </c>
      <c r="F772" s="11" t="s">
        <v>24</v>
      </c>
      <c r="G772" s="11" t="s">
        <v>24</v>
      </c>
      <c r="H772" s="1"/>
      <c r="I772" s="1"/>
      <c r="J772" s="1"/>
    </row>
    <row r="773" spans="1:10" x14ac:dyDescent="0.25">
      <c r="A773" s="8" t="s">
        <v>4433</v>
      </c>
      <c r="B773" s="8" t="s">
        <v>5827</v>
      </c>
      <c r="C773" s="31" t="s">
        <v>5828</v>
      </c>
      <c r="D773" s="8" t="s">
        <v>1917</v>
      </c>
      <c r="E773" s="8" t="s">
        <v>4439</v>
      </c>
      <c r="F773" s="11" t="s">
        <v>195</v>
      </c>
      <c r="G773" s="11" t="s">
        <v>24</v>
      </c>
      <c r="H773" s="1"/>
      <c r="I773" s="1"/>
      <c r="J773" s="1"/>
    </row>
    <row r="774" spans="1:10" x14ac:dyDescent="0.25">
      <c r="A774" s="8" t="s">
        <v>4433</v>
      </c>
      <c r="B774" s="8" t="s">
        <v>5829</v>
      </c>
      <c r="C774" s="31" t="s">
        <v>5830</v>
      </c>
      <c r="D774" s="8" t="s">
        <v>1877</v>
      </c>
      <c r="E774" s="8" t="s">
        <v>4439</v>
      </c>
      <c r="F774" s="11" t="s">
        <v>24</v>
      </c>
      <c r="G774" s="11" t="s">
        <v>24</v>
      </c>
      <c r="H774" s="1"/>
      <c r="I774" s="1"/>
      <c r="J774" s="1"/>
    </row>
    <row r="775" spans="1:10" x14ac:dyDescent="0.25">
      <c r="A775" s="8" t="s">
        <v>4433</v>
      </c>
      <c r="B775" s="8" t="s">
        <v>5831</v>
      </c>
      <c r="C775" s="31" t="s">
        <v>5832</v>
      </c>
      <c r="D775" s="8" t="s">
        <v>1881</v>
      </c>
      <c r="E775" s="8" t="s">
        <v>4442</v>
      </c>
      <c r="F775" s="11" t="s">
        <v>195</v>
      </c>
      <c r="G775" s="11" t="s">
        <v>24</v>
      </c>
      <c r="H775" s="1"/>
      <c r="I775" s="1"/>
      <c r="J775" s="1"/>
    </row>
    <row r="776" spans="1:10" x14ac:dyDescent="0.25">
      <c r="A776" s="8" t="s">
        <v>4433</v>
      </c>
      <c r="B776" s="8" t="s">
        <v>5833</v>
      </c>
      <c r="C776" s="31" t="s">
        <v>5834</v>
      </c>
      <c r="D776" s="8" t="s">
        <v>1877</v>
      </c>
      <c r="E776" s="8" t="s">
        <v>4439</v>
      </c>
      <c r="F776" s="11" t="s">
        <v>24</v>
      </c>
      <c r="G776" s="11" t="s">
        <v>24</v>
      </c>
      <c r="H776" s="1"/>
      <c r="I776" s="1"/>
      <c r="J776" s="1"/>
    </row>
    <row r="777" spans="1:10" x14ac:dyDescent="0.25">
      <c r="A777" s="8" t="s">
        <v>4433</v>
      </c>
      <c r="B777" s="8" t="s">
        <v>5835</v>
      </c>
      <c r="C777" s="31" t="s">
        <v>5836</v>
      </c>
      <c r="D777" s="8" t="s">
        <v>1877</v>
      </c>
      <c r="E777" s="8" t="s">
        <v>4442</v>
      </c>
      <c r="F777" s="11" t="s">
        <v>195</v>
      </c>
      <c r="G777" s="11" t="s">
        <v>24</v>
      </c>
      <c r="H777" s="1"/>
      <c r="I777" s="1"/>
      <c r="J777" s="1"/>
    </row>
    <row r="778" spans="1:10" x14ac:dyDescent="0.25">
      <c r="A778" s="8" t="s">
        <v>4433</v>
      </c>
      <c r="B778" s="8" t="s">
        <v>5837</v>
      </c>
      <c r="C778" s="31" t="s">
        <v>5838</v>
      </c>
      <c r="D778" s="8" t="s">
        <v>1877</v>
      </c>
      <c r="E778" s="8" t="s">
        <v>4436</v>
      </c>
      <c r="F778" s="11" t="s">
        <v>24</v>
      </c>
      <c r="G778" s="11" t="s">
        <v>24</v>
      </c>
      <c r="H778" s="1"/>
      <c r="I778" s="1"/>
      <c r="J778" s="1"/>
    </row>
    <row r="779" spans="1:10" x14ac:dyDescent="0.25">
      <c r="A779" s="8" t="s">
        <v>4433</v>
      </c>
      <c r="B779" s="8" t="s">
        <v>5839</v>
      </c>
      <c r="C779" s="31" t="s">
        <v>5840</v>
      </c>
      <c r="D779" s="8" t="s">
        <v>1877</v>
      </c>
      <c r="E779" s="8" t="s">
        <v>4436</v>
      </c>
      <c r="F779" s="11" t="s">
        <v>195</v>
      </c>
      <c r="G779" s="11" t="s">
        <v>24</v>
      </c>
      <c r="H779" s="1"/>
      <c r="I779" s="1"/>
      <c r="J779" s="1"/>
    </row>
    <row r="780" spans="1:10" x14ac:dyDescent="0.25">
      <c r="A780" s="8" t="s">
        <v>4433</v>
      </c>
      <c r="B780" s="8" t="s">
        <v>5841</v>
      </c>
      <c r="C780" s="31" t="s">
        <v>5842</v>
      </c>
      <c r="D780" s="8" t="s">
        <v>1877</v>
      </c>
      <c r="E780" s="8" t="s">
        <v>4450</v>
      </c>
      <c r="F780" s="11" t="s">
        <v>24</v>
      </c>
      <c r="G780" s="11" t="s">
        <v>24</v>
      </c>
      <c r="H780" s="1"/>
      <c r="I780" s="1"/>
      <c r="J780" s="1"/>
    </row>
    <row r="781" spans="1:10" x14ac:dyDescent="0.25">
      <c r="A781" s="8" t="s">
        <v>4433</v>
      </c>
      <c r="B781" s="8" t="s">
        <v>5841</v>
      </c>
      <c r="C781" s="31" t="s">
        <v>5843</v>
      </c>
      <c r="D781" s="8" t="s">
        <v>1877</v>
      </c>
      <c r="E781" s="8" t="s">
        <v>4468</v>
      </c>
      <c r="F781" s="11" t="s">
        <v>24</v>
      </c>
      <c r="G781" s="11" t="s">
        <v>24</v>
      </c>
      <c r="H781" s="1"/>
      <c r="I781" s="1"/>
      <c r="J781" s="1"/>
    </row>
    <row r="782" spans="1:10" x14ac:dyDescent="0.25">
      <c r="A782" s="8" t="s">
        <v>4433</v>
      </c>
      <c r="B782" s="8" t="s">
        <v>5844</v>
      </c>
      <c r="C782" s="31" t="s">
        <v>5845</v>
      </c>
      <c r="D782" s="8" t="s">
        <v>1877</v>
      </c>
      <c r="E782" s="8" t="s">
        <v>4450</v>
      </c>
      <c r="F782" s="11" t="s">
        <v>24</v>
      </c>
      <c r="G782" s="11" t="s">
        <v>24</v>
      </c>
      <c r="H782" s="1"/>
      <c r="I782" s="1"/>
      <c r="J782" s="1"/>
    </row>
    <row r="783" spans="1:10" x14ac:dyDescent="0.25">
      <c r="A783" s="8" t="s">
        <v>4433</v>
      </c>
      <c r="B783" s="8" t="s">
        <v>5844</v>
      </c>
      <c r="C783" s="31" t="s">
        <v>5846</v>
      </c>
      <c r="D783" s="8" t="s">
        <v>1877</v>
      </c>
      <c r="E783" s="8" t="s">
        <v>4468</v>
      </c>
      <c r="F783" s="11" t="s">
        <v>24</v>
      </c>
      <c r="G783" s="11" t="s">
        <v>24</v>
      </c>
      <c r="H783" s="1"/>
      <c r="I783" s="1"/>
      <c r="J783" s="1"/>
    </row>
    <row r="784" spans="1:10" x14ac:dyDescent="0.25">
      <c r="A784" s="8" t="s">
        <v>4433</v>
      </c>
      <c r="B784" s="8" t="s">
        <v>5847</v>
      </c>
      <c r="C784" s="31" t="s">
        <v>3493</v>
      </c>
      <c r="D784" s="8" t="s">
        <v>1877</v>
      </c>
      <c r="E784" s="8" t="s">
        <v>4436</v>
      </c>
      <c r="F784" s="11" t="s">
        <v>24</v>
      </c>
      <c r="G784" s="11" t="s">
        <v>24</v>
      </c>
      <c r="H784" s="1"/>
      <c r="I784" s="1"/>
      <c r="J784" s="1"/>
    </row>
    <row r="785" spans="1:10" x14ac:dyDescent="0.25">
      <c r="A785" s="8" t="s">
        <v>4433</v>
      </c>
      <c r="B785" s="8" t="s">
        <v>5848</v>
      </c>
      <c r="C785" s="31" t="s">
        <v>5849</v>
      </c>
      <c r="D785" s="8" t="s">
        <v>1877</v>
      </c>
      <c r="E785" s="8" t="s">
        <v>4453</v>
      </c>
      <c r="F785" s="11" t="s">
        <v>24</v>
      </c>
      <c r="G785" s="11" t="s">
        <v>24</v>
      </c>
      <c r="H785" s="1"/>
      <c r="I785" s="1"/>
      <c r="J785" s="1"/>
    </row>
    <row r="786" spans="1:10" x14ac:dyDescent="0.25">
      <c r="A786" s="8" t="s">
        <v>4433</v>
      </c>
      <c r="B786" s="8" t="s">
        <v>5850</v>
      </c>
      <c r="C786" s="31">
        <v>16</v>
      </c>
      <c r="D786" s="8" t="s">
        <v>1877</v>
      </c>
      <c r="E786" s="8" t="s">
        <v>4501</v>
      </c>
      <c r="F786" s="11" t="s">
        <v>24</v>
      </c>
      <c r="G786" s="11" t="s">
        <v>24</v>
      </c>
      <c r="H786" s="1"/>
      <c r="I786" s="1"/>
      <c r="J786" s="1"/>
    </row>
    <row r="787" spans="1:10" x14ac:dyDescent="0.25">
      <c r="A787" s="8" t="s">
        <v>4433</v>
      </c>
      <c r="B787" s="8" t="s">
        <v>5851</v>
      </c>
      <c r="C787" s="31" t="s">
        <v>3994</v>
      </c>
      <c r="D787" s="8" t="s">
        <v>1877</v>
      </c>
      <c r="E787" s="8" t="s">
        <v>4499</v>
      </c>
      <c r="F787" s="11" t="s">
        <v>24</v>
      </c>
      <c r="G787" s="11" t="s">
        <v>24</v>
      </c>
      <c r="H787" s="1"/>
      <c r="I787" s="1"/>
      <c r="J787" s="1"/>
    </row>
    <row r="788" spans="1:10" x14ac:dyDescent="0.25">
      <c r="A788" s="8" t="s">
        <v>4433</v>
      </c>
      <c r="B788" s="8" t="s">
        <v>5852</v>
      </c>
      <c r="C788" s="31" t="s">
        <v>5737</v>
      </c>
      <c r="D788" s="8" t="s">
        <v>1877</v>
      </c>
      <c r="E788" s="8" t="s">
        <v>4499</v>
      </c>
      <c r="F788" s="11" t="s">
        <v>24</v>
      </c>
      <c r="G788" s="11" t="s">
        <v>24</v>
      </c>
      <c r="H788" s="1"/>
      <c r="I788" s="1"/>
      <c r="J788" s="1"/>
    </row>
    <row r="789" spans="1:10" x14ac:dyDescent="0.25">
      <c r="A789" s="8" t="s">
        <v>4433</v>
      </c>
      <c r="B789" s="8" t="s">
        <v>5853</v>
      </c>
      <c r="C789" s="31">
        <v>2382</v>
      </c>
      <c r="D789" s="8" t="s">
        <v>1877</v>
      </c>
      <c r="E789" s="8" t="s">
        <v>4501</v>
      </c>
      <c r="F789" s="11" t="s">
        <v>24</v>
      </c>
      <c r="G789" s="11" t="s">
        <v>24</v>
      </c>
      <c r="H789" s="1"/>
      <c r="I789" s="1"/>
      <c r="J789" s="1"/>
    </row>
    <row r="790" spans="1:10" x14ac:dyDescent="0.25">
      <c r="A790" s="8" t="s">
        <v>4433</v>
      </c>
      <c r="B790" s="8" t="s">
        <v>5854</v>
      </c>
      <c r="C790" s="31" t="s">
        <v>5855</v>
      </c>
      <c r="D790" s="8" t="s">
        <v>1881</v>
      </c>
      <c r="E790" s="8" t="s">
        <v>4442</v>
      </c>
      <c r="F790" s="11" t="s">
        <v>195</v>
      </c>
      <c r="G790" s="11" t="s">
        <v>24</v>
      </c>
      <c r="H790" s="1"/>
      <c r="I790" s="1"/>
      <c r="J790" s="1"/>
    </row>
    <row r="791" spans="1:10" x14ac:dyDescent="0.25">
      <c r="A791" s="8" t="s">
        <v>4433</v>
      </c>
      <c r="B791" s="8" t="s">
        <v>5856</v>
      </c>
      <c r="C791" s="31" t="s">
        <v>5857</v>
      </c>
      <c r="D791" s="8" t="s">
        <v>1877</v>
      </c>
      <c r="E791" s="8" t="s">
        <v>4454</v>
      </c>
      <c r="F791" s="11" t="s">
        <v>24</v>
      </c>
      <c r="G791" s="11" t="s">
        <v>24</v>
      </c>
      <c r="H791" s="1"/>
      <c r="I791" s="1"/>
      <c r="J791" s="1"/>
    </row>
    <row r="792" spans="1:10" x14ac:dyDescent="0.25">
      <c r="A792" s="8" t="s">
        <v>4433</v>
      </c>
      <c r="B792" s="8" t="s">
        <v>5858</v>
      </c>
      <c r="C792" s="31" t="s">
        <v>5859</v>
      </c>
      <c r="D792" s="8" t="s">
        <v>1877</v>
      </c>
      <c r="E792" s="8" t="s">
        <v>4454</v>
      </c>
      <c r="F792" s="11" t="s">
        <v>24</v>
      </c>
      <c r="G792" s="11" t="s">
        <v>24</v>
      </c>
      <c r="H792" s="1"/>
      <c r="I792" s="1"/>
      <c r="J792" s="1"/>
    </row>
    <row r="793" spans="1:10" x14ac:dyDescent="0.25">
      <c r="A793" s="8" t="s">
        <v>4433</v>
      </c>
      <c r="B793" s="8" t="s">
        <v>5860</v>
      </c>
      <c r="C793" s="31" t="s">
        <v>5861</v>
      </c>
      <c r="D793" s="8" t="s">
        <v>1877</v>
      </c>
      <c r="E793" s="8" t="s">
        <v>4453</v>
      </c>
      <c r="F793" s="11" t="s">
        <v>24</v>
      </c>
      <c r="G793" s="11" t="s">
        <v>24</v>
      </c>
      <c r="H793" s="1"/>
      <c r="I793" s="1"/>
      <c r="J793" s="1"/>
    </row>
    <row r="794" spans="1:10" x14ac:dyDescent="0.25">
      <c r="A794" s="8" t="s">
        <v>4433</v>
      </c>
      <c r="B794" s="8" t="s">
        <v>5862</v>
      </c>
      <c r="C794" s="31" t="s">
        <v>5863</v>
      </c>
      <c r="D794" s="8" t="s">
        <v>1877</v>
      </c>
      <c r="E794" s="8" t="s">
        <v>4454</v>
      </c>
      <c r="F794" s="11" t="s">
        <v>24</v>
      </c>
      <c r="G794" s="11" t="s">
        <v>24</v>
      </c>
      <c r="H794" s="1"/>
      <c r="I794" s="1"/>
      <c r="J794" s="1"/>
    </row>
    <row r="795" spans="1:10" x14ac:dyDescent="0.25">
      <c r="A795" s="8" t="s">
        <v>4433</v>
      </c>
      <c r="B795" s="8" t="s">
        <v>5864</v>
      </c>
      <c r="C795" s="31" t="s">
        <v>5865</v>
      </c>
      <c r="D795" s="8" t="s">
        <v>1877</v>
      </c>
      <c r="E795" s="8" t="s">
        <v>4453</v>
      </c>
      <c r="F795" s="11" t="s">
        <v>24</v>
      </c>
      <c r="G795" s="11" t="s">
        <v>24</v>
      </c>
      <c r="H795" s="1"/>
      <c r="I795" s="1"/>
      <c r="J795" s="1"/>
    </row>
    <row r="796" spans="1:10" x14ac:dyDescent="0.25">
      <c r="A796" s="8" t="s">
        <v>4433</v>
      </c>
      <c r="B796" s="8" t="s">
        <v>5866</v>
      </c>
      <c r="C796" s="31" t="s">
        <v>5867</v>
      </c>
      <c r="D796" s="8" t="s">
        <v>1877</v>
      </c>
      <c r="E796" s="8" t="s">
        <v>4453</v>
      </c>
      <c r="F796" s="11" t="s">
        <v>24</v>
      </c>
      <c r="G796" s="11" t="s">
        <v>24</v>
      </c>
      <c r="H796" s="1"/>
      <c r="I796" s="1"/>
      <c r="J796" s="1"/>
    </row>
    <row r="797" spans="1:10" x14ac:dyDescent="0.25">
      <c r="A797" s="8" t="s">
        <v>4433</v>
      </c>
      <c r="B797" s="8" t="s">
        <v>5868</v>
      </c>
      <c r="C797" s="31" t="s">
        <v>5869</v>
      </c>
      <c r="D797" s="8" t="s">
        <v>1877</v>
      </c>
      <c r="E797" s="8" t="s">
        <v>4453</v>
      </c>
      <c r="F797" s="11" t="s">
        <v>24</v>
      </c>
      <c r="G797" s="11" t="s">
        <v>24</v>
      </c>
      <c r="H797" s="1"/>
      <c r="I797" s="1"/>
      <c r="J797" s="1"/>
    </row>
    <row r="798" spans="1:10" x14ac:dyDescent="0.25">
      <c r="A798" s="8" t="s">
        <v>4433</v>
      </c>
      <c r="B798" s="8" t="s">
        <v>5870</v>
      </c>
      <c r="C798" s="31" t="s">
        <v>5871</v>
      </c>
      <c r="D798" s="8" t="s">
        <v>1877</v>
      </c>
      <c r="E798" s="8" t="s">
        <v>4473</v>
      </c>
      <c r="F798" s="11" t="s">
        <v>24</v>
      </c>
      <c r="G798" s="11" t="s">
        <v>24</v>
      </c>
      <c r="H798" s="1"/>
      <c r="I798" s="1"/>
      <c r="J798" s="1"/>
    </row>
    <row r="799" spans="1:10" x14ac:dyDescent="0.25">
      <c r="A799" s="8" t="s">
        <v>4433</v>
      </c>
      <c r="B799" s="8" t="s">
        <v>5872</v>
      </c>
      <c r="C799" s="31" t="s">
        <v>5873</v>
      </c>
      <c r="D799" s="8" t="s">
        <v>1877</v>
      </c>
      <c r="E799" s="8" t="s">
        <v>4436</v>
      </c>
      <c r="F799" s="11" t="s">
        <v>24</v>
      </c>
      <c r="G799" s="11" t="s">
        <v>24</v>
      </c>
      <c r="H799" s="1"/>
      <c r="I799" s="1"/>
      <c r="J799" s="1"/>
    </row>
    <row r="800" spans="1:10" x14ac:dyDescent="0.25">
      <c r="A800" s="8" t="s">
        <v>4433</v>
      </c>
      <c r="B800" s="8" t="s">
        <v>5874</v>
      </c>
      <c r="C800" s="31" t="s">
        <v>5875</v>
      </c>
      <c r="D800" s="8" t="s">
        <v>1877</v>
      </c>
      <c r="E800" s="8" t="s">
        <v>4436</v>
      </c>
      <c r="F800" s="11" t="s">
        <v>24</v>
      </c>
      <c r="G800" s="11" t="s">
        <v>24</v>
      </c>
      <c r="H800" s="1"/>
      <c r="I800" s="1"/>
      <c r="J800" s="1"/>
    </row>
    <row r="801" spans="1:10" x14ac:dyDescent="0.25">
      <c r="A801" s="8" t="s">
        <v>4433</v>
      </c>
      <c r="B801" s="8" t="s">
        <v>5876</v>
      </c>
      <c r="C801" s="31" t="s">
        <v>5877</v>
      </c>
      <c r="D801" s="8" t="s">
        <v>1877</v>
      </c>
      <c r="E801" s="8" t="s">
        <v>4473</v>
      </c>
      <c r="F801" s="11" t="s">
        <v>195</v>
      </c>
      <c r="G801" s="11" t="s">
        <v>24</v>
      </c>
      <c r="H801" s="1"/>
      <c r="I801" s="1"/>
      <c r="J801" s="1"/>
    </row>
    <row r="802" spans="1:10" x14ac:dyDescent="0.25">
      <c r="A802" s="8" t="s">
        <v>4433</v>
      </c>
      <c r="B802" s="8" t="s">
        <v>5878</v>
      </c>
      <c r="C802" s="31" t="s">
        <v>5879</v>
      </c>
      <c r="D802" s="8" t="s">
        <v>1894</v>
      </c>
      <c r="E802" s="8" t="s">
        <v>4442</v>
      </c>
      <c r="F802" s="11" t="s">
        <v>24</v>
      </c>
      <c r="G802" s="11" t="s">
        <v>24</v>
      </c>
      <c r="H802" s="1"/>
      <c r="I802" s="1"/>
      <c r="J802" s="1"/>
    </row>
    <row r="803" spans="1:10" x14ac:dyDescent="0.25">
      <c r="A803" s="8" t="s">
        <v>4433</v>
      </c>
      <c r="B803" s="8" t="s">
        <v>5880</v>
      </c>
      <c r="C803" s="31" t="s">
        <v>5881</v>
      </c>
      <c r="D803" s="8" t="s">
        <v>1877</v>
      </c>
      <c r="E803" s="8" t="s">
        <v>4442</v>
      </c>
      <c r="F803" s="11" t="s">
        <v>24</v>
      </c>
      <c r="G803" s="11" t="s">
        <v>24</v>
      </c>
      <c r="H803" s="1"/>
      <c r="I803" s="1"/>
      <c r="J803" s="1"/>
    </row>
    <row r="804" spans="1:10" x14ac:dyDescent="0.25">
      <c r="A804" s="8" t="s">
        <v>4433</v>
      </c>
      <c r="B804" s="8" t="s">
        <v>5882</v>
      </c>
      <c r="C804" s="31" t="s">
        <v>5883</v>
      </c>
      <c r="D804" s="8" t="s">
        <v>1877</v>
      </c>
      <c r="E804" s="8" t="s">
        <v>4439</v>
      </c>
      <c r="F804" s="11" t="s">
        <v>24</v>
      </c>
      <c r="G804" s="11" t="s">
        <v>24</v>
      </c>
      <c r="H804" s="1"/>
      <c r="I804" s="1"/>
      <c r="J804" s="1"/>
    </row>
    <row r="805" spans="1:10" x14ac:dyDescent="0.25">
      <c r="A805" s="8" t="s">
        <v>4433</v>
      </c>
      <c r="B805" s="8" t="s">
        <v>5884</v>
      </c>
      <c r="C805" s="31" t="s">
        <v>5885</v>
      </c>
      <c r="D805" s="8" t="s">
        <v>1877</v>
      </c>
      <c r="E805" s="8" t="s">
        <v>4499</v>
      </c>
      <c r="F805" s="11" t="s">
        <v>24</v>
      </c>
      <c r="G805" s="11" t="s">
        <v>24</v>
      </c>
      <c r="H805" s="1"/>
      <c r="I805" s="1"/>
      <c r="J805" s="1"/>
    </row>
    <row r="806" spans="1:10" x14ac:dyDescent="0.25">
      <c r="A806" s="8" t="s">
        <v>4433</v>
      </c>
      <c r="B806" s="8" t="s">
        <v>5886</v>
      </c>
      <c r="C806" s="31">
        <v>669</v>
      </c>
      <c r="D806" s="8" t="s">
        <v>1877</v>
      </c>
      <c r="E806" s="8" t="s">
        <v>4501</v>
      </c>
      <c r="F806" s="11" t="s">
        <v>24</v>
      </c>
      <c r="G806" s="11" t="s">
        <v>24</v>
      </c>
      <c r="H806" s="1"/>
      <c r="I806" s="1"/>
      <c r="J806" s="1"/>
    </row>
    <row r="807" spans="1:10" x14ac:dyDescent="0.25">
      <c r="A807" s="8" t="s">
        <v>4433</v>
      </c>
      <c r="B807" s="8" t="s">
        <v>5887</v>
      </c>
      <c r="C807" s="31" t="s">
        <v>5888</v>
      </c>
      <c r="D807" s="8" t="s">
        <v>1877</v>
      </c>
      <c r="E807" s="8" t="s">
        <v>4499</v>
      </c>
      <c r="F807" s="11" t="s">
        <v>24</v>
      </c>
      <c r="G807" s="11" t="s">
        <v>24</v>
      </c>
      <c r="H807" s="1"/>
      <c r="I807" s="1"/>
      <c r="J807" s="1"/>
    </row>
    <row r="808" spans="1:10" x14ac:dyDescent="0.25">
      <c r="A808" s="8" t="s">
        <v>4433</v>
      </c>
      <c r="B808" s="8" t="s">
        <v>5889</v>
      </c>
      <c r="C808" s="31" t="s">
        <v>5890</v>
      </c>
      <c r="D808" s="8" t="s">
        <v>1877</v>
      </c>
      <c r="E808" s="8" t="s">
        <v>4442</v>
      </c>
      <c r="F808" s="11" t="s">
        <v>195</v>
      </c>
      <c r="G808" s="11" t="s">
        <v>24</v>
      </c>
      <c r="H808" s="1"/>
      <c r="I808" s="1"/>
      <c r="J808" s="1"/>
    </row>
    <row r="809" spans="1:10" x14ac:dyDescent="0.25">
      <c r="A809" s="8" t="s">
        <v>4433</v>
      </c>
      <c r="B809" s="8" t="s">
        <v>5891</v>
      </c>
      <c r="C809" s="31" t="s">
        <v>5892</v>
      </c>
      <c r="D809" s="8" t="s">
        <v>1877</v>
      </c>
      <c r="E809" s="8" t="s">
        <v>4454</v>
      </c>
      <c r="F809" s="11" t="s">
        <v>24</v>
      </c>
      <c r="G809" s="11" t="s">
        <v>24</v>
      </c>
      <c r="H809" s="1"/>
      <c r="I809" s="1"/>
      <c r="J809" s="1"/>
    </row>
    <row r="810" spans="1:10" x14ac:dyDescent="0.25">
      <c r="A810" s="8" t="s">
        <v>4433</v>
      </c>
      <c r="B810" s="8" t="s">
        <v>5893</v>
      </c>
      <c r="C810" s="31" t="s">
        <v>5894</v>
      </c>
      <c r="D810" s="8" t="s">
        <v>1877</v>
      </c>
      <c r="E810" s="8" t="s">
        <v>4450</v>
      </c>
      <c r="F810" s="11" t="s">
        <v>24</v>
      </c>
      <c r="G810" s="11" t="s">
        <v>24</v>
      </c>
      <c r="H810" s="1"/>
      <c r="I810" s="1"/>
      <c r="J810" s="1"/>
    </row>
    <row r="811" spans="1:10" x14ac:dyDescent="0.25">
      <c r="A811" s="8" t="s">
        <v>4433</v>
      </c>
      <c r="B811" s="8" t="s">
        <v>5895</v>
      </c>
      <c r="C811" s="31" t="s">
        <v>5896</v>
      </c>
      <c r="D811" s="8" t="s">
        <v>1877</v>
      </c>
      <c r="E811" s="8" t="s">
        <v>4442</v>
      </c>
      <c r="F811" s="11" t="s">
        <v>195</v>
      </c>
      <c r="G811" s="11" t="s">
        <v>24</v>
      </c>
      <c r="H811" s="1"/>
      <c r="I811" s="1"/>
      <c r="J811" s="1"/>
    </row>
    <row r="812" spans="1:10" x14ac:dyDescent="0.25">
      <c r="A812" s="8" t="s">
        <v>4433</v>
      </c>
      <c r="B812" s="8" t="s">
        <v>5897</v>
      </c>
      <c r="C812" s="31" t="s">
        <v>5898</v>
      </c>
      <c r="D812" s="8" t="s">
        <v>1877</v>
      </c>
      <c r="E812" s="8" t="s">
        <v>4468</v>
      </c>
      <c r="F812" s="11" t="s">
        <v>24</v>
      </c>
      <c r="G812" s="11" t="s">
        <v>24</v>
      </c>
      <c r="H812" s="1"/>
      <c r="I812" s="1"/>
      <c r="J812" s="1"/>
    </row>
    <row r="813" spans="1:10" x14ac:dyDescent="0.25">
      <c r="A813" s="8" t="s">
        <v>4433</v>
      </c>
      <c r="B813" s="8" t="s">
        <v>5899</v>
      </c>
      <c r="C813" s="31" t="s">
        <v>5900</v>
      </c>
      <c r="D813" s="8" t="s">
        <v>1877</v>
      </c>
      <c r="E813" s="8" t="s">
        <v>4454</v>
      </c>
      <c r="F813" s="11" t="s">
        <v>24</v>
      </c>
      <c r="G813" s="11" t="s">
        <v>24</v>
      </c>
      <c r="H813" s="1"/>
      <c r="I813" s="1"/>
      <c r="J813" s="1"/>
    </row>
    <row r="814" spans="1:10" x14ac:dyDescent="0.25">
      <c r="A814" s="8" t="s">
        <v>4433</v>
      </c>
      <c r="B814" s="8" t="s">
        <v>5901</v>
      </c>
      <c r="C814" s="31" t="s">
        <v>4618</v>
      </c>
      <c r="D814" s="8" t="s">
        <v>1877</v>
      </c>
      <c r="E814" s="8" t="s">
        <v>4499</v>
      </c>
      <c r="F814" s="11" t="s">
        <v>24</v>
      </c>
      <c r="G814" s="11" t="s">
        <v>24</v>
      </c>
      <c r="H814" s="1"/>
      <c r="I814" s="1"/>
      <c r="J814" s="1"/>
    </row>
    <row r="815" spans="1:10" x14ac:dyDescent="0.25">
      <c r="A815" s="8" t="s">
        <v>4433</v>
      </c>
      <c r="B815" s="8" t="s">
        <v>5902</v>
      </c>
      <c r="C815" s="31" t="s">
        <v>5903</v>
      </c>
      <c r="D815" s="8" t="s">
        <v>1877</v>
      </c>
      <c r="E815" s="8" t="s">
        <v>4453</v>
      </c>
      <c r="F815" s="11" t="s">
        <v>24</v>
      </c>
      <c r="G815" s="11" t="s">
        <v>24</v>
      </c>
      <c r="H815" s="1"/>
      <c r="I815" s="1"/>
      <c r="J815" s="1"/>
    </row>
    <row r="816" spans="1:10" x14ac:dyDescent="0.25">
      <c r="A816" s="8" t="s">
        <v>4433</v>
      </c>
      <c r="B816" s="8" t="s">
        <v>5904</v>
      </c>
      <c r="C816" s="31" t="s">
        <v>5905</v>
      </c>
      <c r="D816" s="8" t="s">
        <v>1877</v>
      </c>
      <c r="E816" s="8" t="s">
        <v>4450</v>
      </c>
      <c r="F816" s="11" t="s">
        <v>24</v>
      </c>
      <c r="G816" s="11" t="s">
        <v>24</v>
      </c>
      <c r="H816" s="1"/>
      <c r="I816" s="1"/>
      <c r="J816" s="1"/>
    </row>
    <row r="817" spans="1:10" x14ac:dyDescent="0.25">
      <c r="A817" s="8" t="s">
        <v>4433</v>
      </c>
      <c r="B817" s="8" t="s">
        <v>5906</v>
      </c>
      <c r="C817" s="31">
        <v>700</v>
      </c>
      <c r="D817" s="8" t="s">
        <v>1877</v>
      </c>
      <c r="E817" s="8" t="s">
        <v>4501</v>
      </c>
      <c r="F817" s="11" t="s">
        <v>24</v>
      </c>
      <c r="G817" s="11" t="s">
        <v>24</v>
      </c>
      <c r="H817" s="1"/>
      <c r="I817" s="1"/>
      <c r="J817" s="1"/>
    </row>
    <row r="818" spans="1:10" x14ac:dyDescent="0.25">
      <c r="A818" s="8" t="s">
        <v>4433</v>
      </c>
      <c r="B818" s="8" t="s">
        <v>5907</v>
      </c>
      <c r="C818" s="31" t="s">
        <v>4088</v>
      </c>
      <c r="D818" s="8" t="s">
        <v>1877</v>
      </c>
      <c r="E818" s="8" t="s">
        <v>4436</v>
      </c>
      <c r="F818" s="11" t="s">
        <v>195</v>
      </c>
      <c r="G818" s="11" t="s">
        <v>24</v>
      </c>
      <c r="H818" s="1"/>
      <c r="I818" s="1"/>
      <c r="J818" s="1"/>
    </row>
    <row r="819" spans="1:10" x14ac:dyDescent="0.25">
      <c r="A819" s="8" t="s">
        <v>4433</v>
      </c>
      <c r="B819" s="8" t="s">
        <v>5908</v>
      </c>
      <c r="C819" s="31" t="s">
        <v>5909</v>
      </c>
      <c r="D819" s="8" t="s">
        <v>1877</v>
      </c>
      <c r="E819" s="8" t="s">
        <v>4442</v>
      </c>
      <c r="F819" s="11" t="s">
        <v>195</v>
      </c>
      <c r="G819" s="11" t="s">
        <v>24</v>
      </c>
      <c r="H819" s="1"/>
      <c r="I819" s="1"/>
      <c r="J819" s="1"/>
    </row>
    <row r="820" spans="1:10" x14ac:dyDescent="0.25">
      <c r="A820" s="8" t="s">
        <v>4433</v>
      </c>
      <c r="B820" s="8" t="s">
        <v>5910</v>
      </c>
      <c r="C820" s="31" t="s">
        <v>5911</v>
      </c>
      <c r="D820" s="8" t="s">
        <v>1877</v>
      </c>
      <c r="E820" s="8" t="s">
        <v>4439</v>
      </c>
      <c r="F820" s="11" t="s">
        <v>24</v>
      </c>
      <c r="G820" s="11" t="s">
        <v>24</v>
      </c>
      <c r="H820" s="1"/>
      <c r="I820" s="1"/>
      <c r="J820" s="1"/>
    </row>
    <row r="821" spans="1:10" x14ac:dyDescent="0.25">
      <c r="A821" s="8" t="s">
        <v>4433</v>
      </c>
      <c r="B821" s="8" t="s">
        <v>5912</v>
      </c>
      <c r="C821" s="31" t="s">
        <v>5913</v>
      </c>
      <c r="D821" s="8" t="s">
        <v>1877</v>
      </c>
      <c r="E821" s="8" t="s">
        <v>4436</v>
      </c>
      <c r="F821" s="11" t="s">
        <v>24</v>
      </c>
      <c r="G821" s="11" t="s">
        <v>24</v>
      </c>
      <c r="H821" s="1"/>
      <c r="I821" s="1"/>
      <c r="J821" s="1"/>
    </row>
    <row r="822" spans="1:10" x14ac:dyDescent="0.25">
      <c r="A822" s="8" t="s">
        <v>4433</v>
      </c>
      <c r="B822" s="8" t="s">
        <v>5914</v>
      </c>
      <c r="C822" s="31" t="s">
        <v>5915</v>
      </c>
      <c r="D822" s="8" t="s">
        <v>1894</v>
      </c>
      <c r="E822" s="8" t="s">
        <v>4442</v>
      </c>
      <c r="F822" s="11" t="s">
        <v>195</v>
      </c>
      <c r="G822" s="11" t="s">
        <v>24</v>
      </c>
      <c r="H822" s="1"/>
      <c r="I822" s="1"/>
      <c r="J822" s="1"/>
    </row>
    <row r="823" spans="1:10" x14ac:dyDescent="0.25">
      <c r="A823" s="8" t="s">
        <v>4433</v>
      </c>
      <c r="B823" s="8" t="s">
        <v>5916</v>
      </c>
      <c r="C823" s="31" t="s">
        <v>5917</v>
      </c>
      <c r="D823" s="8" t="s">
        <v>1877</v>
      </c>
      <c r="E823" s="8" t="s">
        <v>4436</v>
      </c>
      <c r="F823" s="11" t="s">
        <v>24</v>
      </c>
      <c r="G823" s="11" t="s">
        <v>24</v>
      </c>
      <c r="H823" s="1"/>
      <c r="I823" s="1"/>
      <c r="J823" s="1"/>
    </row>
    <row r="824" spans="1:10" x14ac:dyDescent="0.25">
      <c r="A824" s="8" t="s">
        <v>4433</v>
      </c>
      <c r="B824" s="8" t="s">
        <v>5918</v>
      </c>
      <c r="C824" s="31" t="s">
        <v>5919</v>
      </c>
      <c r="D824" s="8" t="s">
        <v>1877</v>
      </c>
      <c r="E824" s="8" t="s">
        <v>4768</v>
      </c>
      <c r="F824" s="11" t="s">
        <v>24</v>
      </c>
      <c r="G824" s="11" t="s">
        <v>24</v>
      </c>
      <c r="H824" s="1"/>
      <c r="I824" s="1"/>
      <c r="J824" s="1"/>
    </row>
    <row r="825" spans="1:10" x14ac:dyDescent="0.25">
      <c r="A825" s="8" t="s">
        <v>4433</v>
      </c>
      <c r="B825" s="8" t="s">
        <v>5920</v>
      </c>
      <c r="C825" s="31" t="s">
        <v>5921</v>
      </c>
      <c r="D825" s="8" t="s">
        <v>1877</v>
      </c>
      <c r="E825" s="8" t="s">
        <v>4468</v>
      </c>
      <c r="F825" s="11" t="s">
        <v>24</v>
      </c>
      <c r="G825" s="11" t="s">
        <v>24</v>
      </c>
      <c r="H825" s="1"/>
      <c r="I825" s="1"/>
      <c r="J825" s="1"/>
    </row>
    <row r="826" spans="1:10" x14ac:dyDescent="0.25">
      <c r="A826" s="8" t="s">
        <v>4433</v>
      </c>
      <c r="B826" s="8" t="s">
        <v>5922</v>
      </c>
      <c r="C826" s="31" t="s">
        <v>5923</v>
      </c>
      <c r="D826" s="8" t="s">
        <v>1877</v>
      </c>
      <c r="E826" s="8" t="s">
        <v>4439</v>
      </c>
      <c r="F826" s="11" t="s">
        <v>24</v>
      </c>
      <c r="G826" s="11" t="s">
        <v>24</v>
      </c>
      <c r="H826" s="1"/>
      <c r="I826" s="1"/>
      <c r="J826" s="1"/>
    </row>
    <row r="827" spans="1:10" x14ac:dyDescent="0.25">
      <c r="A827" s="8" t="s">
        <v>4433</v>
      </c>
      <c r="B827" s="8" t="s">
        <v>5924</v>
      </c>
      <c r="C827" s="31" t="s">
        <v>5925</v>
      </c>
      <c r="D827" s="8" t="s">
        <v>1877</v>
      </c>
      <c r="E827" s="8" t="s">
        <v>4436</v>
      </c>
      <c r="F827" s="11" t="s">
        <v>24</v>
      </c>
      <c r="G827" s="11" t="s">
        <v>24</v>
      </c>
      <c r="H827" s="1"/>
      <c r="I827" s="1"/>
      <c r="J827" s="1"/>
    </row>
    <row r="828" spans="1:10" x14ac:dyDescent="0.25">
      <c r="A828" s="8" t="s">
        <v>4433</v>
      </c>
      <c r="B828" s="8" t="s">
        <v>5926</v>
      </c>
      <c r="C828" s="31" t="s">
        <v>5927</v>
      </c>
      <c r="D828" s="8" t="s">
        <v>1877</v>
      </c>
      <c r="E828" s="8" t="s">
        <v>4442</v>
      </c>
      <c r="F828" s="11" t="s">
        <v>24</v>
      </c>
      <c r="G828" s="11" t="s">
        <v>24</v>
      </c>
      <c r="H828" s="1"/>
      <c r="I828" s="1"/>
      <c r="J828" s="1"/>
    </row>
    <row r="829" spans="1:10" x14ac:dyDescent="0.25">
      <c r="A829" s="8" t="s">
        <v>4433</v>
      </c>
      <c r="B829" s="8" t="s">
        <v>5928</v>
      </c>
      <c r="C829" s="31" t="s">
        <v>5929</v>
      </c>
      <c r="D829" s="8" t="s">
        <v>1877</v>
      </c>
      <c r="E829" s="8" t="s">
        <v>4499</v>
      </c>
      <c r="F829" s="11" t="s">
        <v>24</v>
      </c>
      <c r="G829" s="11" t="s">
        <v>24</v>
      </c>
      <c r="H829" s="1"/>
      <c r="I829" s="1"/>
      <c r="J829" s="1"/>
    </row>
    <row r="830" spans="1:10" x14ac:dyDescent="0.25">
      <c r="A830" s="8" t="s">
        <v>4433</v>
      </c>
      <c r="B830" s="8" t="s">
        <v>5930</v>
      </c>
      <c r="C830" s="31">
        <v>322</v>
      </c>
      <c r="D830" s="8" t="s">
        <v>1877</v>
      </c>
      <c r="E830" s="8" t="s">
        <v>4501</v>
      </c>
      <c r="F830" s="11" t="s">
        <v>24</v>
      </c>
      <c r="G830" s="11" t="s">
        <v>24</v>
      </c>
      <c r="H830" s="1"/>
      <c r="I830" s="1"/>
      <c r="J830" s="1"/>
    </row>
    <row r="831" spans="1:10" x14ac:dyDescent="0.25">
      <c r="A831" s="8" t="s">
        <v>4433</v>
      </c>
      <c r="B831" s="8" t="s">
        <v>5931</v>
      </c>
      <c r="C831" s="31" t="s">
        <v>5932</v>
      </c>
      <c r="D831" s="8" t="s">
        <v>1877</v>
      </c>
      <c r="E831" s="8" t="s">
        <v>4499</v>
      </c>
      <c r="F831" s="11" t="s">
        <v>24</v>
      </c>
      <c r="G831" s="11" t="s">
        <v>24</v>
      </c>
      <c r="H831" s="1"/>
      <c r="I831" s="1"/>
      <c r="J831" s="1"/>
    </row>
    <row r="832" spans="1:10" x14ac:dyDescent="0.25">
      <c r="A832" s="8" t="s">
        <v>4433</v>
      </c>
      <c r="B832" s="8" t="s">
        <v>5933</v>
      </c>
      <c r="C832" s="31" t="s">
        <v>5934</v>
      </c>
      <c r="D832" s="8" t="s">
        <v>1877</v>
      </c>
      <c r="E832" s="8" t="s">
        <v>4468</v>
      </c>
      <c r="F832" s="11" t="s">
        <v>24</v>
      </c>
      <c r="G832" s="11" t="s">
        <v>24</v>
      </c>
      <c r="H832" s="1"/>
      <c r="I832" s="1"/>
      <c r="J832" s="1"/>
    </row>
    <row r="833" spans="1:10" x14ac:dyDescent="0.25">
      <c r="A833" s="8" t="s">
        <v>4433</v>
      </c>
      <c r="B833" s="8" t="s">
        <v>5935</v>
      </c>
      <c r="C833" s="31" t="s">
        <v>5936</v>
      </c>
      <c r="D833" s="8" t="s">
        <v>1877</v>
      </c>
      <c r="E833" s="8" t="s">
        <v>4499</v>
      </c>
      <c r="F833" s="11" t="s">
        <v>24</v>
      </c>
      <c r="G833" s="11" t="s">
        <v>24</v>
      </c>
      <c r="H833" s="1"/>
      <c r="I833" s="1"/>
      <c r="J833" s="1"/>
    </row>
    <row r="834" spans="1:10" x14ac:dyDescent="0.25">
      <c r="A834" s="8" t="s">
        <v>4433</v>
      </c>
      <c r="B834" s="8" t="s">
        <v>5937</v>
      </c>
      <c r="C834" s="31" t="s">
        <v>5938</v>
      </c>
      <c r="D834" s="8" t="s">
        <v>1877</v>
      </c>
      <c r="E834" s="8" t="s">
        <v>4436</v>
      </c>
      <c r="F834" s="11" t="s">
        <v>24</v>
      </c>
      <c r="G834" s="11" t="s">
        <v>24</v>
      </c>
      <c r="H834" s="1"/>
      <c r="I834" s="1"/>
      <c r="J834" s="1"/>
    </row>
    <row r="835" spans="1:10" x14ac:dyDescent="0.25">
      <c r="A835" s="8" t="s">
        <v>4433</v>
      </c>
      <c r="B835" s="8" t="s">
        <v>5939</v>
      </c>
      <c r="C835" s="31" t="s">
        <v>5940</v>
      </c>
      <c r="D835" s="8" t="s">
        <v>1877</v>
      </c>
      <c r="E835" s="8" t="s">
        <v>4450</v>
      </c>
      <c r="F835" s="11" t="s">
        <v>24</v>
      </c>
      <c r="G835" s="11" t="s">
        <v>24</v>
      </c>
      <c r="H835" s="1"/>
      <c r="I835" s="1"/>
      <c r="J835" s="1"/>
    </row>
    <row r="836" spans="1:10" x14ac:dyDescent="0.25">
      <c r="A836" s="8" t="s">
        <v>4433</v>
      </c>
      <c r="B836" s="8" t="s">
        <v>5941</v>
      </c>
      <c r="C836" s="31">
        <v>9961</v>
      </c>
      <c r="D836" s="8" t="s">
        <v>1877</v>
      </c>
      <c r="E836" s="8" t="s">
        <v>4501</v>
      </c>
      <c r="F836" s="11" t="s">
        <v>195</v>
      </c>
      <c r="G836" s="11" t="s">
        <v>24</v>
      </c>
      <c r="H836" s="1"/>
      <c r="I836" s="1"/>
      <c r="J836" s="1"/>
    </row>
    <row r="837" spans="1:10" x14ac:dyDescent="0.25">
      <c r="A837" s="8" t="s">
        <v>4433</v>
      </c>
      <c r="B837" s="8" t="s">
        <v>5942</v>
      </c>
      <c r="C837" s="31" t="s">
        <v>5943</v>
      </c>
      <c r="D837" s="8" t="s">
        <v>1877</v>
      </c>
      <c r="E837" s="8" t="s">
        <v>4445</v>
      </c>
      <c r="F837" s="11" t="s">
        <v>24</v>
      </c>
      <c r="G837" s="11" t="s">
        <v>24</v>
      </c>
      <c r="H837" s="1"/>
      <c r="I837" s="1"/>
      <c r="J837" s="1"/>
    </row>
    <row r="838" spans="1:10" x14ac:dyDescent="0.25">
      <c r="A838" s="8" t="s">
        <v>4433</v>
      </c>
      <c r="B838" s="8" t="s">
        <v>5944</v>
      </c>
      <c r="C838" s="31" t="s">
        <v>5945</v>
      </c>
      <c r="D838" s="8" t="s">
        <v>1877</v>
      </c>
      <c r="E838" s="8" t="s">
        <v>4442</v>
      </c>
      <c r="F838" s="11" t="s">
        <v>195</v>
      </c>
      <c r="G838" s="11" t="s">
        <v>24</v>
      </c>
      <c r="H838" s="1"/>
      <c r="I838" s="1"/>
      <c r="J838" s="1"/>
    </row>
    <row r="839" spans="1:10" x14ac:dyDescent="0.25">
      <c r="A839" s="8" t="s">
        <v>4433</v>
      </c>
      <c r="B839" s="8" t="s">
        <v>5946</v>
      </c>
      <c r="C839" s="31" t="s">
        <v>5947</v>
      </c>
      <c r="D839" s="8" t="s">
        <v>1877</v>
      </c>
      <c r="E839" s="8" t="s">
        <v>4436</v>
      </c>
      <c r="F839" s="11" t="s">
        <v>195</v>
      </c>
      <c r="G839" s="11" t="s">
        <v>24</v>
      </c>
      <c r="H839" s="1"/>
      <c r="I839" s="1"/>
      <c r="J839" s="1"/>
    </row>
    <row r="840" spans="1:10" x14ac:dyDescent="0.25">
      <c r="A840" s="8" t="s">
        <v>4433</v>
      </c>
      <c r="B840" s="8" t="s">
        <v>5948</v>
      </c>
      <c r="C840" s="31" t="s">
        <v>5949</v>
      </c>
      <c r="D840" s="8" t="s">
        <v>1877</v>
      </c>
      <c r="E840" s="8" t="s">
        <v>4442</v>
      </c>
      <c r="F840" s="11" t="s">
        <v>195</v>
      </c>
      <c r="G840" s="11" t="s">
        <v>24</v>
      </c>
      <c r="H840" s="1"/>
      <c r="I840" s="1"/>
      <c r="J840" s="1"/>
    </row>
    <row r="841" spans="1:10" x14ac:dyDescent="0.25">
      <c r="A841" s="8" t="s">
        <v>4433</v>
      </c>
      <c r="B841" s="8" t="s">
        <v>5950</v>
      </c>
      <c r="C841" s="31" t="s">
        <v>5951</v>
      </c>
      <c r="D841" s="8" t="s">
        <v>1877</v>
      </c>
      <c r="E841" s="8" t="s">
        <v>4442</v>
      </c>
      <c r="F841" s="11" t="s">
        <v>24</v>
      </c>
      <c r="G841" s="11" t="s">
        <v>24</v>
      </c>
      <c r="H841" s="1"/>
      <c r="I841" s="1"/>
      <c r="J841" s="1"/>
    </row>
    <row r="842" spans="1:10" x14ac:dyDescent="0.25">
      <c r="A842" s="8" t="s">
        <v>4433</v>
      </c>
      <c r="B842" s="8" t="s">
        <v>5952</v>
      </c>
      <c r="C842" s="31" t="s">
        <v>5953</v>
      </c>
      <c r="D842" s="8" t="s">
        <v>1877</v>
      </c>
      <c r="E842" s="8" t="s">
        <v>4453</v>
      </c>
      <c r="F842" s="11" t="s">
        <v>24</v>
      </c>
      <c r="G842" s="11" t="s">
        <v>24</v>
      </c>
      <c r="H842" s="1"/>
      <c r="I842" s="1"/>
      <c r="J842" s="1"/>
    </row>
    <row r="843" spans="1:10" x14ac:dyDescent="0.25">
      <c r="A843" s="8" t="s">
        <v>4433</v>
      </c>
      <c r="B843" s="8" t="s">
        <v>5954</v>
      </c>
      <c r="C843" s="31" t="s">
        <v>5955</v>
      </c>
      <c r="D843" s="8" t="s">
        <v>1877</v>
      </c>
      <c r="E843" s="8" t="s">
        <v>4471</v>
      </c>
      <c r="F843" s="11" t="s">
        <v>24</v>
      </c>
      <c r="G843" s="11" t="s">
        <v>24</v>
      </c>
      <c r="H843" s="1"/>
      <c r="I843" s="1"/>
      <c r="J843" s="1"/>
    </row>
    <row r="844" spans="1:10" x14ac:dyDescent="0.25">
      <c r="A844" s="8" t="s">
        <v>4433</v>
      </c>
      <c r="B844" s="8" t="s">
        <v>5956</v>
      </c>
      <c r="C844" s="31" t="s">
        <v>5957</v>
      </c>
      <c r="D844" s="8" t="s">
        <v>1877</v>
      </c>
      <c r="E844" s="8" t="s">
        <v>4442</v>
      </c>
      <c r="F844" s="11" t="s">
        <v>195</v>
      </c>
      <c r="G844" s="11" t="s">
        <v>24</v>
      </c>
      <c r="H844" s="1"/>
      <c r="I844" s="1"/>
      <c r="J844" s="1"/>
    </row>
    <row r="845" spans="1:10" x14ac:dyDescent="0.25">
      <c r="A845" s="8" t="s">
        <v>4433</v>
      </c>
      <c r="B845" s="8" t="s">
        <v>5958</v>
      </c>
      <c r="C845" s="31" t="s">
        <v>5959</v>
      </c>
      <c r="D845" s="8" t="s">
        <v>1877</v>
      </c>
      <c r="E845" s="8" t="s">
        <v>4471</v>
      </c>
      <c r="F845" s="11" t="s">
        <v>24</v>
      </c>
      <c r="G845" s="11" t="s">
        <v>24</v>
      </c>
      <c r="H845" s="1"/>
      <c r="I845" s="1"/>
      <c r="J845" s="1"/>
    </row>
    <row r="846" spans="1:10" x14ac:dyDescent="0.25">
      <c r="A846" s="8" t="s">
        <v>4433</v>
      </c>
      <c r="B846" s="8" t="s">
        <v>5960</v>
      </c>
      <c r="C846" s="31" t="s">
        <v>5961</v>
      </c>
      <c r="D846" s="8" t="s">
        <v>1881</v>
      </c>
      <c r="E846" s="8" t="s">
        <v>4468</v>
      </c>
      <c r="F846" s="11" t="s">
        <v>24</v>
      </c>
      <c r="G846" s="11" t="s">
        <v>24</v>
      </c>
      <c r="H846" s="1"/>
      <c r="I846" s="1"/>
      <c r="J846" s="1"/>
    </row>
    <row r="847" spans="1:10" x14ac:dyDescent="0.25">
      <c r="A847" s="8" t="s">
        <v>4433</v>
      </c>
      <c r="B847" s="8" t="s">
        <v>5962</v>
      </c>
      <c r="C847" s="31" t="s">
        <v>5963</v>
      </c>
      <c r="D847" s="8" t="s">
        <v>1877</v>
      </c>
      <c r="E847" s="8" t="s">
        <v>4450</v>
      </c>
      <c r="F847" s="11" t="s">
        <v>24</v>
      </c>
      <c r="G847" s="11" t="s">
        <v>24</v>
      </c>
      <c r="H847" s="1"/>
      <c r="I847" s="1"/>
      <c r="J847" s="1"/>
    </row>
    <row r="848" spans="1:10" x14ac:dyDescent="0.25">
      <c r="A848" s="8" t="s">
        <v>4433</v>
      </c>
      <c r="B848" s="8" t="s">
        <v>5964</v>
      </c>
      <c r="C848" s="31" t="s">
        <v>5965</v>
      </c>
      <c r="D848" s="8" t="s">
        <v>1877</v>
      </c>
      <c r="E848" s="8" t="s">
        <v>4463</v>
      </c>
      <c r="F848" s="11" t="s">
        <v>24</v>
      </c>
      <c r="G848" s="11" t="s">
        <v>24</v>
      </c>
      <c r="H848" s="1"/>
      <c r="I848" s="1"/>
      <c r="J848" s="1"/>
    </row>
    <row r="849" spans="1:10" x14ac:dyDescent="0.25">
      <c r="A849" s="8" t="s">
        <v>4433</v>
      </c>
      <c r="B849" s="8" t="s">
        <v>5964</v>
      </c>
      <c r="C849" s="31" t="s">
        <v>5966</v>
      </c>
      <c r="D849" s="8" t="s">
        <v>1877</v>
      </c>
      <c r="E849" s="8" t="s">
        <v>4439</v>
      </c>
      <c r="F849" s="11" t="s">
        <v>24</v>
      </c>
      <c r="G849" s="11" t="s">
        <v>24</v>
      </c>
      <c r="H849" s="1"/>
      <c r="I849" s="1"/>
      <c r="J849" s="1"/>
    </row>
    <row r="850" spans="1:10" x14ac:dyDescent="0.25">
      <c r="A850" s="8" t="s">
        <v>4433</v>
      </c>
      <c r="B850" s="8" t="s">
        <v>5967</v>
      </c>
      <c r="C850" s="31" t="s">
        <v>5968</v>
      </c>
      <c r="D850" s="8" t="s">
        <v>1877</v>
      </c>
      <c r="E850" s="8" t="s">
        <v>4442</v>
      </c>
      <c r="F850" s="11" t="s">
        <v>24</v>
      </c>
      <c r="G850" s="11" t="s">
        <v>24</v>
      </c>
      <c r="H850" s="1"/>
      <c r="I850" s="1"/>
      <c r="J850" s="1"/>
    </row>
    <row r="851" spans="1:10" x14ac:dyDescent="0.25">
      <c r="A851" s="8" t="s">
        <v>4433</v>
      </c>
      <c r="B851" s="8" t="s">
        <v>5969</v>
      </c>
      <c r="C851" s="31" t="s">
        <v>4148</v>
      </c>
      <c r="D851" s="8" t="s">
        <v>1877</v>
      </c>
      <c r="E851" s="8" t="s">
        <v>4450</v>
      </c>
      <c r="F851" s="11" t="s">
        <v>24</v>
      </c>
      <c r="G851" s="11" t="s">
        <v>24</v>
      </c>
      <c r="H851" s="1"/>
      <c r="I851" s="1"/>
      <c r="J851" s="1"/>
    </row>
    <row r="852" spans="1:10" x14ac:dyDescent="0.25">
      <c r="A852" s="8" t="s">
        <v>4433</v>
      </c>
      <c r="B852" s="8" t="s">
        <v>5970</v>
      </c>
      <c r="C852" s="31" t="s">
        <v>5971</v>
      </c>
      <c r="D852" s="8" t="s">
        <v>1881</v>
      </c>
      <c r="E852" s="8" t="s">
        <v>4439</v>
      </c>
      <c r="F852" s="11" t="s">
        <v>24</v>
      </c>
      <c r="G852" s="11" t="s">
        <v>24</v>
      </c>
      <c r="H852" s="1"/>
      <c r="I852" s="1"/>
      <c r="J852" s="1"/>
    </row>
    <row r="853" spans="1:10" x14ac:dyDescent="0.25">
      <c r="A853" s="8" t="s">
        <v>4433</v>
      </c>
      <c r="B853" s="8" t="s">
        <v>5972</v>
      </c>
      <c r="C853" s="31" t="s">
        <v>5973</v>
      </c>
      <c r="D853" s="8" t="s">
        <v>1877</v>
      </c>
      <c r="E853" s="8" t="s">
        <v>4436</v>
      </c>
      <c r="F853" s="11" t="s">
        <v>24</v>
      </c>
      <c r="G853" s="11" t="s">
        <v>24</v>
      </c>
      <c r="H853" s="1"/>
      <c r="I853" s="1"/>
      <c r="J853" s="1"/>
    </row>
    <row r="854" spans="1:10" x14ac:dyDescent="0.25">
      <c r="A854" s="8" t="s">
        <v>4433</v>
      </c>
      <c r="B854" s="8" t="s">
        <v>5974</v>
      </c>
      <c r="C854" s="31" t="s">
        <v>5975</v>
      </c>
      <c r="D854" s="8" t="s">
        <v>1877</v>
      </c>
      <c r="E854" s="8" t="s">
        <v>4768</v>
      </c>
      <c r="F854" s="11" t="s">
        <v>24</v>
      </c>
      <c r="G854" s="11" t="s">
        <v>24</v>
      </c>
      <c r="H854" s="1"/>
      <c r="I854" s="1"/>
      <c r="J854" s="1"/>
    </row>
    <row r="855" spans="1:10" x14ac:dyDescent="0.25">
      <c r="A855" s="8" t="s">
        <v>4433</v>
      </c>
      <c r="B855" s="8" t="s">
        <v>5976</v>
      </c>
      <c r="C855" s="31" t="s">
        <v>5977</v>
      </c>
      <c r="D855" s="8" t="s">
        <v>1877</v>
      </c>
      <c r="E855" s="8" t="s">
        <v>4442</v>
      </c>
      <c r="F855" s="11" t="s">
        <v>24</v>
      </c>
      <c r="G855" s="11" t="s">
        <v>24</v>
      </c>
      <c r="H855" s="1"/>
      <c r="I855" s="1"/>
      <c r="J855" s="1"/>
    </row>
    <row r="856" spans="1:10" x14ac:dyDescent="0.25">
      <c r="A856" s="8" t="s">
        <v>4433</v>
      </c>
      <c r="B856" s="8" t="s">
        <v>5978</v>
      </c>
      <c r="C856" s="31" t="s">
        <v>5979</v>
      </c>
      <c r="D856" s="8" t="s">
        <v>1877</v>
      </c>
      <c r="E856" s="8" t="s">
        <v>4439</v>
      </c>
      <c r="F856" s="11" t="s">
        <v>24</v>
      </c>
      <c r="G856" s="11" t="s">
        <v>24</v>
      </c>
      <c r="H856" s="1"/>
      <c r="I856" s="1"/>
      <c r="J856" s="1"/>
    </row>
    <row r="857" spans="1:10" x14ac:dyDescent="0.25">
      <c r="A857" s="8" t="s">
        <v>4433</v>
      </c>
      <c r="B857" s="8" t="s">
        <v>5980</v>
      </c>
      <c r="C857" s="31" t="s">
        <v>5981</v>
      </c>
      <c r="D857" s="8" t="s">
        <v>1877</v>
      </c>
      <c r="E857" s="8" t="s">
        <v>4442</v>
      </c>
      <c r="F857" s="11" t="s">
        <v>24</v>
      </c>
      <c r="G857" s="11" t="s">
        <v>24</v>
      </c>
      <c r="H857" s="1"/>
      <c r="I857" s="1"/>
      <c r="J857" s="1"/>
    </row>
    <row r="858" spans="1:10" x14ac:dyDescent="0.25">
      <c r="A858" s="8" t="s">
        <v>4433</v>
      </c>
      <c r="B858" s="8" t="s">
        <v>5982</v>
      </c>
      <c r="C858" s="31" t="s">
        <v>5983</v>
      </c>
      <c r="D858" s="8" t="s">
        <v>1877</v>
      </c>
      <c r="E858" s="8" t="s">
        <v>4442</v>
      </c>
      <c r="F858" s="11" t="s">
        <v>24</v>
      </c>
      <c r="G858" s="11" t="s">
        <v>24</v>
      </c>
      <c r="H858" s="1"/>
      <c r="I858" s="1"/>
      <c r="J858" s="1"/>
    </row>
    <row r="859" spans="1:10" x14ac:dyDescent="0.25">
      <c r="A859" s="8" t="s">
        <v>4433</v>
      </c>
      <c r="B859" s="8" t="s">
        <v>5984</v>
      </c>
      <c r="C859" s="31" t="s">
        <v>5985</v>
      </c>
      <c r="D859" s="8" t="s">
        <v>1877</v>
      </c>
      <c r="E859" s="8" t="s">
        <v>4463</v>
      </c>
      <c r="F859" s="11" t="s">
        <v>24</v>
      </c>
      <c r="G859" s="11" t="s">
        <v>24</v>
      </c>
      <c r="H859" s="1"/>
      <c r="I859" s="1"/>
      <c r="J859" s="1"/>
    </row>
    <row r="860" spans="1:10" x14ac:dyDescent="0.25">
      <c r="A860" s="8" t="s">
        <v>4433</v>
      </c>
      <c r="B860" s="8" t="s">
        <v>5986</v>
      </c>
      <c r="C860" s="31" t="s">
        <v>5987</v>
      </c>
      <c r="D860" s="8" t="s">
        <v>1877</v>
      </c>
      <c r="E860" s="8" t="s">
        <v>4768</v>
      </c>
      <c r="F860" s="11" t="s">
        <v>24</v>
      </c>
      <c r="G860" s="11" t="s">
        <v>24</v>
      </c>
      <c r="H860" s="1"/>
      <c r="I860" s="1"/>
      <c r="J860" s="1"/>
    </row>
    <row r="861" spans="1:10" x14ac:dyDescent="0.25">
      <c r="A861" s="8" t="s">
        <v>4433</v>
      </c>
      <c r="B861" s="8" t="s">
        <v>5988</v>
      </c>
      <c r="C861" s="31" t="s">
        <v>5989</v>
      </c>
      <c r="D861" s="8" t="s">
        <v>1877</v>
      </c>
      <c r="E861" s="8" t="s">
        <v>4442</v>
      </c>
      <c r="F861" s="11" t="s">
        <v>24</v>
      </c>
      <c r="G861" s="11" t="s">
        <v>24</v>
      </c>
      <c r="H861" s="1"/>
      <c r="I861" s="1"/>
      <c r="J861" s="1"/>
    </row>
    <row r="862" spans="1:10" x14ac:dyDescent="0.25">
      <c r="A862" s="8" t="s">
        <v>4433</v>
      </c>
      <c r="B862" s="8" t="s">
        <v>5990</v>
      </c>
      <c r="C862" s="31" t="s">
        <v>5991</v>
      </c>
      <c r="D862" s="8" t="s">
        <v>1877</v>
      </c>
      <c r="E862" s="8" t="s">
        <v>4442</v>
      </c>
      <c r="F862" s="11" t="s">
        <v>195</v>
      </c>
      <c r="G862" s="11" t="s">
        <v>24</v>
      </c>
      <c r="H862" s="1"/>
      <c r="I862" s="1"/>
      <c r="J862" s="1"/>
    </row>
    <row r="863" spans="1:10" x14ac:dyDescent="0.25">
      <c r="A863" s="8" t="s">
        <v>4433</v>
      </c>
      <c r="B863" s="8" t="s">
        <v>5992</v>
      </c>
      <c r="C863" s="31" t="s">
        <v>5993</v>
      </c>
      <c r="D863" s="8" t="s">
        <v>1917</v>
      </c>
      <c r="E863" s="8" t="s">
        <v>4439</v>
      </c>
      <c r="F863" s="11" t="s">
        <v>195</v>
      </c>
      <c r="G863" s="11" t="s">
        <v>24</v>
      </c>
      <c r="H863" s="1"/>
      <c r="I863" s="1"/>
      <c r="J863" s="1"/>
    </row>
    <row r="864" spans="1:10" x14ac:dyDescent="0.25">
      <c r="A864" s="8" t="s">
        <v>4433</v>
      </c>
      <c r="B864" s="8" t="s">
        <v>5994</v>
      </c>
      <c r="C864" s="31" t="s">
        <v>5995</v>
      </c>
      <c r="D864" s="8" t="s">
        <v>1917</v>
      </c>
      <c r="E864" s="8" t="s">
        <v>4442</v>
      </c>
      <c r="F864" s="11" t="s">
        <v>195</v>
      </c>
      <c r="G864" s="11" t="s">
        <v>24</v>
      </c>
      <c r="H864" s="1"/>
      <c r="I864" s="1"/>
      <c r="J864" s="1"/>
    </row>
    <row r="865" spans="1:10" x14ac:dyDescent="0.25">
      <c r="A865" s="8" t="s">
        <v>4433</v>
      </c>
      <c r="B865" s="8" t="s">
        <v>5996</v>
      </c>
      <c r="C865" s="31" t="s">
        <v>5997</v>
      </c>
      <c r="D865" s="8" t="s">
        <v>1917</v>
      </c>
      <c r="E865" s="8" t="s">
        <v>4439</v>
      </c>
      <c r="F865" s="11" t="s">
        <v>195</v>
      </c>
      <c r="G865" s="11" t="s">
        <v>24</v>
      </c>
      <c r="H865" s="1"/>
      <c r="I865" s="1"/>
      <c r="J865" s="1"/>
    </row>
    <row r="866" spans="1:10" x14ac:dyDescent="0.25">
      <c r="A866" s="8" t="s">
        <v>4433</v>
      </c>
      <c r="B866" s="8" t="s">
        <v>5998</v>
      </c>
      <c r="C866" s="31" t="s">
        <v>5999</v>
      </c>
      <c r="D866" s="8" t="s">
        <v>1877</v>
      </c>
      <c r="E866" s="8" t="s">
        <v>4453</v>
      </c>
      <c r="F866" s="11" t="s">
        <v>24</v>
      </c>
      <c r="G866" s="11" t="s">
        <v>24</v>
      </c>
      <c r="H866" s="1"/>
      <c r="I866" s="1"/>
      <c r="J866" s="1"/>
    </row>
    <row r="867" spans="1:10" x14ac:dyDescent="0.25">
      <c r="A867" s="8" t="s">
        <v>4433</v>
      </c>
      <c r="B867" s="8" t="s">
        <v>6000</v>
      </c>
      <c r="C867" s="31" t="s">
        <v>6001</v>
      </c>
      <c r="D867" s="8" t="s">
        <v>1877</v>
      </c>
      <c r="E867" s="8" t="s">
        <v>4768</v>
      </c>
      <c r="F867" s="11" t="s">
        <v>24</v>
      </c>
      <c r="G867" s="11" t="s">
        <v>24</v>
      </c>
      <c r="H867" s="1"/>
      <c r="I867" s="1"/>
      <c r="J867" s="1"/>
    </row>
    <row r="868" spans="1:10" x14ac:dyDescent="0.25">
      <c r="A868" s="8" t="s">
        <v>4433</v>
      </c>
      <c r="B868" s="8" t="s">
        <v>6002</v>
      </c>
      <c r="C868" s="31" t="s">
        <v>6003</v>
      </c>
      <c r="D868" s="8" t="s">
        <v>1877</v>
      </c>
      <c r="E868" s="8" t="s">
        <v>4468</v>
      </c>
      <c r="F868" s="11" t="s">
        <v>24</v>
      </c>
      <c r="G868" s="11" t="s">
        <v>24</v>
      </c>
      <c r="H868" s="1"/>
      <c r="I868" s="1"/>
      <c r="J868" s="1"/>
    </row>
    <row r="869" spans="1:10" x14ac:dyDescent="0.25">
      <c r="A869" s="8" t="s">
        <v>4433</v>
      </c>
      <c r="B869" s="8" t="s">
        <v>6004</v>
      </c>
      <c r="C869" s="31" t="s">
        <v>6005</v>
      </c>
      <c r="D869" s="8" t="s">
        <v>1877</v>
      </c>
      <c r="E869" s="8" t="s">
        <v>4436</v>
      </c>
      <c r="F869" s="11" t="s">
        <v>195</v>
      </c>
      <c r="G869" s="11" t="s">
        <v>24</v>
      </c>
      <c r="H869" s="1"/>
      <c r="I869" s="1"/>
      <c r="J869" s="1"/>
    </row>
    <row r="870" spans="1:10" x14ac:dyDescent="0.25">
      <c r="A870" s="8" t="s">
        <v>4433</v>
      </c>
      <c r="B870" s="8" t="s">
        <v>6006</v>
      </c>
      <c r="C870" s="31" t="s">
        <v>6007</v>
      </c>
      <c r="D870" s="8" t="s">
        <v>1877</v>
      </c>
      <c r="E870" s="8" t="s">
        <v>4442</v>
      </c>
      <c r="F870" s="11" t="s">
        <v>195</v>
      </c>
      <c r="G870" s="11" t="s">
        <v>24</v>
      </c>
      <c r="H870" s="1"/>
      <c r="I870" s="1"/>
      <c r="J870" s="1"/>
    </row>
    <row r="871" spans="1:10" x14ac:dyDescent="0.25">
      <c r="A871" s="8" t="s">
        <v>4433</v>
      </c>
      <c r="B871" s="8" t="s">
        <v>6008</v>
      </c>
      <c r="C871" s="31" t="s">
        <v>6009</v>
      </c>
      <c r="D871" s="8" t="s">
        <v>1877</v>
      </c>
      <c r="E871" s="8" t="s">
        <v>4436</v>
      </c>
      <c r="F871" s="11" t="s">
        <v>24</v>
      </c>
      <c r="G871" s="11" t="s">
        <v>24</v>
      </c>
      <c r="H871" s="1"/>
      <c r="I871" s="1"/>
      <c r="J871" s="1"/>
    </row>
    <row r="872" spans="1:10" x14ac:dyDescent="0.25">
      <c r="A872" s="8" t="s">
        <v>4433</v>
      </c>
      <c r="B872" s="8" t="s">
        <v>6010</v>
      </c>
      <c r="C872" s="31" t="s">
        <v>6011</v>
      </c>
      <c r="D872" s="8" t="s">
        <v>1877</v>
      </c>
      <c r="E872" s="8" t="s">
        <v>4442</v>
      </c>
      <c r="F872" s="11" t="s">
        <v>24</v>
      </c>
      <c r="G872" s="11" t="s">
        <v>24</v>
      </c>
      <c r="H872" s="1"/>
      <c r="I872" s="1"/>
      <c r="J872" s="1"/>
    </row>
    <row r="873" spans="1:10" x14ac:dyDescent="0.25">
      <c r="A873" s="8" t="s">
        <v>4433</v>
      </c>
      <c r="B873" s="8" t="s">
        <v>6012</v>
      </c>
      <c r="C873" s="31" t="s">
        <v>6013</v>
      </c>
      <c r="D873" s="8" t="s">
        <v>1877</v>
      </c>
      <c r="E873" s="8" t="s">
        <v>4436</v>
      </c>
      <c r="F873" s="11" t="s">
        <v>24</v>
      </c>
      <c r="G873" s="11" t="s">
        <v>24</v>
      </c>
      <c r="H873" s="1"/>
      <c r="I873" s="1"/>
      <c r="J873" s="1"/>
    </row>
    <row r="874" spans="1:10" x14ac:dyDescent="0.25">
      <c r="A874" s="8" t="s">
        <v>4433</v>
      </c>
      <c r="B874" s="8" t="s">
        <v>6014</v>
      </c>
      <c r="C874" s="31" t="s">
        <v>6015</v>
      </c>
      <c r="D874" s="8" t="s">
        <v>1877</v>
      </c>
      <c r="E874" s="8" t="s">
        <v>4445</v>
      </c>
      <c r="F874" s="11" t="s">
        <v>24</v>
      </c>
      <c r="G874" s="11" t="s">
        <v>24</v>
      </c>
      <c r="H874" s="1"/>
      <c r="I874" s="1"/>
      <c r="J874" s="1"/>
    </row>
    <row r="875" spans="1:10" x14ac:dyDescent="0.25">
      <c r="A875" s="8" t="s">
        <v>4433</v>
      </c>
      <c r="B875" s="8" t="s">
        <v>6016</v>
      </c>
      <c r="C875" s="31" t="s">
        <v>6017</v>
      </c>
      <c r="D875" s="8" t="s">
        <v>1881</v>
      </c>
      <c r="E875" s="8" t="s">
        <v>4442</v>
      </c>
      <c r="F875" s="11" t="s">
        <v>195</v>
      </c>
      <c r="G875" s="11" t="s">
        <v>24</v>
      </c>
      <c r="H875" s="1"/>
      <c r="I875" s="1"/>
      <c r="J875" s="1"/>
    </row>
    <row r="876" spans="1:10" x14ac:dyDescent="0.25">
      <c r="A876" s="8" t="s">
        <v>4433</v>
      </c>
      <c r="B876" s="8" t="s">
        <v>6018</v>
      </c>
      <c r="C876" s="31" t="s">
        <v>6019</v>
      </c>
      <c r="D876" s="8" t="s">
        <v>1877</v>
      </c>
      <c r="E876" s="8" t="s">
        <v>4468</v>
      </c>
      <c r="F876" s="11" t="s">
        <v>24</v>
      </c>
      <c r="G876" s="11" t="s">
        <v>24</v>
      </c>
      <c r="H876" s="1"/>
      <c r="I876" s="1"/>
      <c r="J876" s="1"/>
    </row>
    <row r="877" spans="1:10" x14ac:dyDescent="0.25">
      <c r="A877" s="8" t="s">
        <v>4433</v>
      </c>
      <c r="B877" s="8" t="s">
        <v>6020</v>
      </c>
      <c r="C877" s="31" t="s">
        <v>6021</v>
      </c>
      <c r="D877" s="8" t="s">
        <v>1877</v>
      </c>
      <c r="E877" s="8" t="s">
        <v>4442</v>
      </c>
      <c r="F877" s="11" t="s">
        <v>24</v>
      </c>
      <c r="G877" s="11" t="s">
        <v>24</v>
      </c>
      <c r="H877" s="1"/>
      <c r="I877" s="1"/>
      <c r="J877" s="1"/>
    </row>
    <row r="878" spans="1:10" x14ac:dyDescent="0.25">
      <c r="A878" s="8" t="s">
        <v>4433</v>
      </c>
      <c r="B878" s="8" t="s">
        <v>6022</v>
      </c>
      <c r="C878" s="31" t="s">
        <v>6023</v>
      </c>
      <c r="D878" s="8" t="s">
        <v>1877</v>
      </c>
      <c r="E878" s="8" t="s">
        <v>4468</v>
      </c>
      <c r="F878" s="11" t="s">
        <v>24</v>
      </c>
      <c r="G878" s="11" t="s">
        <v>24</v>
      </c>
      <c r="H878" s="1"/>
      <c r="I878" s="1"/>
      <c r="J878" s="1"/>
    </row>
    <row r="879" spans="1:10" x14ac:dyDescent="0.25">
      <c r="A879" s="8" t="s">
        <v>4433</v>
      </c>
      <c r="B879" s="8" t="s">
        <v>6024</v>
      </c>
      <c r="C879" s="31" t="s">
        <v>6025</v>
      </c>
      <c r="D879" s="8" t="s">
        <v>1877</v>
      </c>
      <c r="E879" s="8" t="s">
        <v>4439</v>
      </c>
      <c r="F879" s="11" t="s">
        <v>24</v>
      </c>
      <c r="G879" s="11" t="s">
        <v>24</v>
      </c>
      <c r="H879" s="1"/>
      <c r="I879" s="1"/>
      <c r="J879" s="1"/>
    </row>
    <row r="880" spans="1:10" x14ac:dyDescent="0.25">
      <c r="A880" s="8" t="s">
        <v>4433</v>
      </c>
      <c r="B880" s="8" t="s">
        <v>6026</v>
      </c>
      <c r="C880" s="31" t="s">
        <v>6027</v>
      </c>
      <c r="D880" s="8" t="s">
        <v>1991</v>
      </c>
      <c r="E880" s="8" t="s">
        <v>4473</v>
      </c>
      <c r="F880" s="11" t="s">
        <v>24</v>
      </c>
      <c r="G880" s="11" t="s">
        <v>24</v>
      </c>
      <c r="H880" s="1"/>
      <c r="I880" s="1"/>
      <c r="J880" s="1"/>
    </row>
    <row r="881" spans="1:10" x14ac:dyDescent="0.25">
      <c r="A881" s="8" t="s">
        <v>4433</v>
      </c>
      <c r="B881" s="8" t="s">
        <v>6028</v>
      </c>
      <c r="C881" s="31" t="s">
        <v>6029</v>
      </c>
      <c r="D881" s="8" t="s">
        <v>1877</v>
      </c>
      <c r="E881" s="8" t="s">
        <v>4454</v>
      </c>
      <c r="F881" s="11" t="s">
        <v>24</v>
      </c>
      <c r="G881" s="11" t="s">
        <v>24</v>
      </c>
      <c r="H881" s="1"/>
      <c r="I881" s="1"/>
      <c r="J881" s="1"/>
    </row>
    <row r="882" spans="1:10" x14ac:dyDescent="0.25">
      <c r="A882" s="8" t="s">
        <v>4433</v>
      </c>
      <c r="B882" s="8" t="s">
        <v>6030</v>
      </c>
      <c r="C882" s="31" t="s">
        <v>6031</v>
      </c>
      <c r="D882" s="8" t="s">
        <v>1877</v>
      </c>
      <c r="E882" s="8" t="s">
        <v>4473</v>
      </c>
      <c r="F882" s="11" t="s">
        <v>24</v>
      </c>
      <c r="G882" s="11" t="s">
        <v>24</v>
      </c>
      <c r="H882" s="1"/>
      <c r="I882" s="1"/>
      <c r="J882" s="1"/>
    </row>
    <row r="883" spans="1:10" x14ac:dyDescent="0.25">
      <c r="A883" s="8" t="s">
        <v>4433</v>
      </c>
      <c r="B883" s="8" t="s">
        <v>6032</v>
      </c>
      <c r="C883" s="31" t="s">
        <v>6033</v>
      </c>
      <c r="D883" s="8" t="s">
        <v>1877</v>
      </c>
      <c r="E883" s="8" t="s">
        <v>4442</v>
      </c>
      <c r="F883" s="11" t="s">
        <v>24</v>
      </c>
      <c r="G883" s="11" t="s">
        <v>24</v>
      </c>
      <c r="H883" s="1"/>
      <c r="I883" s="1"/>
      <c r="J883" s="1"/>
    </row>
    <row r="884" spans="1:10" x14ac:dyDescent="0.25">
      <c r="A884" s="8" t="s">
        <v>4433</v>
      </c>
      <c r="B884" s="8" t="s">
        <v>6034</v>
      </c>
      <c r="C884" s="31" t="s">
        <v>6035</v>
      </c>
      <c r="D884" s="8" t="s">
        <v>1877</v>
      </c>
      <c r="E884" s="8" t="s">
        <v>4442</v>
      </c>
      <c r="F884" s="11" t="s">
        <v>24</v>
      </c>
      <c r="G884" s="11" t="s">
        <v>24</v>
      </c>
      <c r="H884" s="1"/>
      <c r="I884" s="1"/>
      <c r="J884" s="1"/>
    </row>
    <row r="885" spans="1:10" x14ac:dyDescent="0.25">
      <c r="A885" s="8" t="s">
        <v>4433</v>
      </c>
      <c r="B885" s="8" t="s">
        <v>6036</v>
      </c>
      <c r="C885" s="31" t="s">
        <v>6037</v>
      </c>
      <c r="D885" s="8" t="s">
        <v>1881</v>
      </c>
      <c r="E885" s="8" t="s">
        <v>4471</v>
      </c>
      <c r="F885" s="11" t="s">
        <v>24</v>
      </c>
      <c r="G885" s="11" t="s">
        <v>24</v>
      </c>
      <c r="H885" s="1"/>
      <c r="I885" s="1"/>
      <c r="J885" s="1"/>
    </row>
    <row r="886" spans="1:10" x14ac:dyDescent="0.25">
      <c r="A886" s="8" t="s">
        <v>4433</v>
      </c>
      <c r="B886" s="8" t="s">
        <v>6038</v>
      </c>
      <c r="C886" s="31" t="s">
        <v>6039</v>
      </c>
      <c r="D886" s="8" t="s">
        <v>1877</v>
      </c>
      <c r="E886" s="8" t="s">
        <v>4436</v>
      </c>
      <c r="F886" s="11" t="s">
        <v>24</v>
      </c>
      <c r="G886" s="11" t="s">
        <v>24</v>
      </c>
      <c r="H886" s="1"/>
      <c r="I886" s="1"/>
      <c r="J886" s="1"/>
    </row>
    <row r="887" spans="1:10" x14ac:dyDescent="0.25">
      <c r="A887" s="8" t="s">
        <v>4433</v>
      </c>
      <c r="B887" s="8" t="s">
        <v>6040</v>
      </c>
      <c r="C887" s="31" t="s">
        <v>6041</v>
      </c>
      <c r="D887" s="8" t="s">
        <v>1877</v>
      </c>
      <c r="E887" s="8" t="s">
        <v>4499</v>
      </c>
      <c r="F887" s="11" t="s">
        <v>24</v>
      </c>
      <c r="G887" s="11" t="s">
        <v>24</v>
      </c>
      <c r="H887" s="1"/>
      <c r="I887" s="1"/>
      <c r="J887" s="1"/>
    </row>
    <row r="888" spans="1:10" x14ac:dyDescent="0.25">
      <c r="A888" s="8" t="s">
        <v>4433</v>
      </c>
      <c r="B888" s="8" t="s">
        <v>6042</v>
      </c>
      <c r="C888" s="31" t="s">
        <v>6043</v>
      </c>
      <c r="D888" s="8" t="s">
        <v>1877</v>
      </c>
      <c r="E888" s="8" t="s">
        <v>4442</v>
      </c>
      <c r="F888" s="11" t="s">
        <v>24</v>
      </c>
      <c r="G888" s="11" t="s">
        <v>24</v>
      </c>
      <c r="H888" s="1"/>
      <c r="I888" s="1"/>
      <c r="J888" s="1"/>
    </row>
    <row r="889" spans="1:10" x14ac:dyDescent="0.25">
      <c r="A889" s="8" t="s">
        <v>4433</v>
      </c>
      <c r="B889" s="8" t="s">
        <v>6044</v>
      </c>
      <c r="C889" s="31" t="s">
        <v>6045</v>
      </c>
      <c r="D889" s="8" t="s">
        <v>1877</v>
      </c>
      <c r="E889" s="8" t="s">
        <v>4442</v>
      </c>
      <c r="F889" s="11" t="s">
        <v>195</v>
      </c>
      <c r="G889" s="11" t="s">
        <v>24</v>
      </c>
      <c r="H889" s="1"/>
      <c r="I889" s="1"/>
      <c r="J889" s="1"/>
    </row>
    <row r="890" spans="1:10" x14ac:dyDescent="0.25">
      <c r="A890" s="8" t="s">
        <v>4433</v>
      </c>
      <c r="B890" s="8" t="s">
        <v>6046</v>
      </c>
      <c r="C890" s="31" t="s">
        <v>6047</v>
      </c>
      <c r="D890" s="8" t="s">
        <v>1877</v>
      </c>
      <c r="E890" s="8" t="s">
        <v>4439</v>
      </c>
      <c r="F890" s="11" t="s">
        <v>24</v>
      </c>
      <c r="G890" s="11" t="s">
        <v>24</v>
      </c>
      <c r="H890" s="1"/>
      <c r="I890" s="1"/>
      <c r="J890" s="1"/>
    </row>
    <row r="891" spans="1:10" x14ac:dyDescent="0.25">
      <c r="A891" s="8" t="s">
        <v>4433</v>
      </c>
      <c r="B891" s="8" t="s">
        <v>6048</v>
      </c>
      <c r="C891" s="31" t="s">
        <v>6049</v>
      </c>
      <c r="D891" s="8" t="s">
        <v>1877</v>
      </c>
      <c r="E891" s="8" t="s">
        <v>4442</v>
      </c>
      <c r="F891" s="11" t="s">
        <v>24</v>
      </c>
      <c r="G891" s="11" t="s">
        <v>24</v>
      </c>
      <c r="H891" s="1"/>
      <c r="I891" s="1"/>
      <c r="J891" s="1"/>
    </row>
    <row r="892" spans="1:10" x14ac:dyDescent="0.25">
      <c r="A892" s="8" t="s">
        <v>4433</v>
      </c>
      <c r="B892" s="8" t="s">
        <v>6050</v>
      </c>
      <c r="C892" s="31" t="s">
        <v>6051</v>
      </c>
      <c r="D892" s="8" t="s">
        <v>1881</v>
      </c>
      <c r="E892" s="8" t="s">
        <v>4442</v>
      </c>
      <c r="F892" s="11" t="s">
        <v>195</v>
      </c>
      <c r="G892" s="11" t="s">
        <v>24</v>
      </c>
      <c r="H892" s="1"/>
      <c r="I892" s="1"/>
      <c r="J892" s="1"/>
    </row>
    <row r="893" spans="1:10" x14ac:dyDescent="0.25">
      <c r="A893" s="8" t="s">
        <v>4433</v>
      </c>
      <c r="B893" s="8" t="s">
        <v>6052</v>
      </c>
      <c r="C893" s="31" t="s">
        <v>6053</v>
      </c>
      <c r="D893" s="8" t="s">
        <v>1877</v>
      </c>
      <c r="E893" s="8" t="s">
        <v>4499</v>
      </c>
      <c r="F893" s="11" t="s">
        <v>24</v>
      </c>
      <c r="G893" s="11" t="s">
        <v>24</v>
      </c>
      <c r="H893" s="1"/>
      <c r="I893" s="1"/>
      <c r="J893" s="1"/>
    </row>
    <row r="894" spans="1:10" x14ac:dyDescent="0.25">
      <c r="A894" s="8" t="s">
        <v>4433</v>
      </c>
      <c r="B894" s="8" t="s">
        <v>6054</v>
      </c>
      <c r="C894" s="31">
        <v>288</v>
      </c>
      <c r="D894" s="8" t="s">
        <v>1877</v>
      </c>
      <c r="E894" s="8" t="s">
        <v>4501</v>
      </c>
      <c r="F894" s="11" t="s">
        <v>24</v>
      </c>
      <c r="G894" s="11" t="s">
        <v>24</v>
      </c>
      <c r="H894" s="1"/>
      <c r="I894" s="1"/>
      <c r="J894" s="1"/>
    </row>
    <row r="895" spans="1:10" x14ac:dyDescent="0.25">
      <c r="A895" s="8" t="s">
        <v>4433</v>
      </c>
      <c r="B895" s="8" t="s">
        <v>6055</v>
      </c>
      <c r="C895" s="31">
        <v>1997</v>
      </c>
      <c r="D895" s="8" t="s">
        <v>1877</v>
      </c>
      <c r="E895" s="8" t="s">
        <v>4501</v>
      </c>
      <c r="F895" s="11" t="s">
        <v>24</v>
      </c>
      <c r="G895" s="11" t="s">
        <v>24</v>
      </c>
      <c r="H895" s="1"/>
      <c r="I895" s="1"/>
      <c r="J895" s="1"/>
    </row>
    <row r="896" spans="1:10" x14ac:dyDescent="0.25">
      <c r="A896" s="8" t="s">
        <v>4433</v>
      </c>
      <c r="B896" s="8" t="s">
        <v>6056</v>
      </c>
      <c r="C896" s="31" t="s">
        <v>6057</v>
      </c>
      <c r="D896" s="8" t="s">
        <v>1877</v>
      </c>
      <c r="E896" s="8" t="s">
        <v>4499</v>
      </c>
      <c r="F896" s="11" t="s">
        <v>24</v>
      </c>
      <c r="G896" s="11" t="s">
        <v>24</v>
      </c>
      <c r="H896" s="1"/>
      <c r="I896" s="1"/>
      <c r="J896" s="1"/>
    </row>
    <row r="897" spans="1:10" x14ac:dyDescent="0.25">
      <c r="A897" s="8" t="s">
        <v>4433</v>
      </c>
      <c r="B897" s="8" t="s">
        <v>6058</v>
      </c>
      <c r="C897" s="31" t="s">
        <v>6059</v>
      </c>
      <c r="D897" s="8" t="s">
        <v>1877</v>
      </c>
      <c r="E897" s="8" t="s">
        <v>4439</v>
      </c>
      <c r="F897" s="11" t="s">
        <v>24</v>
      </c>
      <c r="G897" s="11" t="s">
        <v>24</v>
      </c>
      <c r="H897" s="1"/>
      <c r="I897" s="1"/>
      <c r="J897" s="1"/>
    </row>
    <row r="898" spans="1:10" x14ac:dyDescent="0.25">
      <c r="A898" s="8" t="s">
        <v>4433</v>
      </c>
      <c r="B898" s="8" t="s">
        <v>6060</v>
      </c>
      <c r="C898" s="31" t="s">
        <v>6061</v>
      </c>
      <c r="D898" s="8" t="s">
        <v>1877</v>
      </c>
      <c r="E898" s="8" t="s">
        <v>4442</v>
      </c>
      <c r="F898" s="11" t="s">
        <v>24</v>
      </c>
      <c r="G898" s="11" t="s">
        <v>24</v>
      </c>
      <c r="H898" s="1"/>
      <c r="I898" s="1"/>
      <c r="J898" s="1"/>
    </row>
    <row r="899" spans="1:10" x14ac:dyDescent="0.25">
      <c r="A899" s="8" t="s">
        <v>4433</v>
      </c>
      <c r="B899" s="8" t="s">
        <v>6062</v>
      </c>
      <c r="C899" s="31" t="s">
        <v>6063</v>
      </c>
      <c r="D899" s="8" t="s">
        <v>1877</v>
      </c>
      <c r="E899" s="8" t="s">
        <v>4442</v>
      </c>
      <c r="F899" s="11" t="s">
        <v>195</v>
      </c>
      <c r="G899" s="11" t="s">
        <v>24</v>
      </c>
      <c r="H899" s="1"/>
      <c r="I899" s="1"/>
      <c r="J899" s="1"/>
    </row>
    <row r="900" spans="1:10" x14ac:dyDescent="0.25">
      <c r="A900" s="8" t="s">
        <v>4433</v>
      </c>
      <c r="B900" s="8" t="s">
        <v>6064</v>
      </c>
      <c r="C900" s="31" t="s">
        <v>6065</v>
      </c>
      <c r="D900" s="8" t="s">
        <v>1877</v>
      </c>
      <c r="E900" s="8" t="s">
        <v>4768</v>
      </c>
      <c r="F900" s="11" t="s">
        <v>24</v>
      </c>
      <c r="G900" s="11" t="s">
        <v>24</v>
      </c>
      <c r="H900" s="1"/>
      <c r="I900" s="1"/>
      <c r="J900" s="1"/>
    </row>
    <row r="901" spans="1:10" x14ac:dyDescent="0.25">
      <c r="A901" s="8" t="s">
        <v>4433</v>
      </c>
      <c r="B901" s="8" t="s">
        <v>6066</v>
      </c>
      <c r="C901" s="31" t="s">
        <v>6067</v>
      </c>
      <c r="D901" s="8" t="s">
        <v>1877</v>
      </c>
      <c r="E901" s="8" t="s">
        <v>4463</v>
      </c>
      <c r="F901" s="11" t="s">
        <v>24</v>
      </c>
      <c r="G901" s="11" t="s">
        <v>24</v>
      </c>
      <c r="H901" s="1"/>
      <c r="I901" s="1"/>
      <c r="J901" s="1"/>
    </row>
    <row r="902" spans="1:10" x14ac:dyDescent="0.25">
      <c r="A902" s="8" t="s">
        <v>4433</v>
      </c>
      <c r="B902" s="8" t="s">
        <v>6068</v>
      </c>
      <c r="C902" s="31" t="s">
        <v>6069</v>
      </c>
      <c r="D902" s="8" t="s">
        <v>1877</v>
      </c>
      <c r="E902" s="8" t="s">
        <v>4436</v>
      </c>
      <c r="F902" s="11" t="s">
        <v>24</v>
      </c>
      <c r="G902" s="11" t="s">
        <v>24</v>
      </c>
      <c r="H902" s="1"/>
      <c r="I902" s="1"/>
      <c r="J902" s="1"/>
    </row>
    <row r="903" spans="1:10" x14ac:dyDescent="0.25">
      <c r="A903" s="8" t="s">
        <v>4433</v>
      </c>
      <c r="B903" s="8" t="s">
        <v>6070</v>
      </c>
      <c r="C903" s="31" t="s">
        <v>6071</v>
      </c>
      <c r="D903" s="8" t="s">
        <v>1877</v>
      </c>
      <c r="E903" s="8" t="s">
        <v>4468</v>
      </c>
      <c r="F903" s="11" t="s">
        <v>24</v>
      </c>
      <c r="G903" s="11" t="s">
        <v>24</v>
      </c>
      <c r="H903" s="1"/>
      <c r="I903" s="1"/>
      <c r="J903" s="1"/>
    </row>
    <row r="904" spans="1:10" x14ac:dyDescent="0.25">
      <c r="A904" s="8" t="s">
        <v>4433</v>
      </c>
      <c r="B904" s="8" t="s">
        <v>6072</v>
      </c>
      <c r="C904" s="31" t="s">
        <v>6073</v>
      </c>
      <c r="D904" s="8" t="s">
        <v>1877</v>
      </c>
      <c r="E904" s="8" t="s">
        <v>4439</v>
      </c>
      <c r="F904" s="11" t="s">
        <v>24</v>
      </c>
      <c r="G904" s="11" t="s">
        <v>24</v>
      </c>
      <c r="H904" s="1"/>
      <c r="I904" s="1"/>
      <c r="J904" s="1"/>
    </row>
    <row r="905" spans="1:10" x14ac:dyDescent="0.25">
      <c r="A905" s="8" t="s">
        <v>4433</v>
      </c>
      <c r="B905" s="8" t="s">
        <v>6074</v>
      </c>
      <c r="C905" s="31" t="s">
        <v>6075</v>
      </c>
      <c r="D905" s="8" t="s">
        <v>1877</v>
      </c>
      <c r="E905" s="8" t="s">
        <v>4499</v>
      </c>
      <c r="F905" s="11" t="s">
        <v>24</v>
      </c>
      <c r="G905" s="11" t="s">
        <v>24</v>
      </c>
      <c r="H905" s="1"/>
      <c r="I905" s="1"/>
      <c r="J905" s="1"/>
    </row>
    <row r="906" spans="1:10" x14ac:dyDescent="0.25">
      <c r="A906" s="8" t="s">
        <v>4433</v>
      </c>
      <c r="B906" s="8" t="s">
        <v>6076</v>
      </c>
      <c r="C906" s="31">
        <v>2269</v>
      </c>
      <c r="D906" s="8" t="s">
        <v>1877</v>
      </c>
      <c r="E906" s="8" t="s">
        <v>4501</v>
      </c>
      <c r="F906" s="11" t="s">
        <v>24</v>
      </c>
      <c r="G906" s="11" t="s">
        <v>24</v>
      </c>
      <c r="H906" s="1"/>
      <c r="I906" s="1"/>
      <c r="J906" s="1"/>
    </row>
    <row r="907" spans="1:10" x14ac:dyDescent="0.25">
      <c r="A907" s="8" t="s">
        <v>4433</v>
      </c>
      <c r="B907" s="8" t="s">
        <v>6077</v>
      </c>
      <c r="C907" s="31" t="s">
        <v>6078</v>
      </c>
      <c r="D907" s="8" t="s">
        <v>1877</v>
      </c>
      <c r="E907" s="8" t="s">
        <v>4436</v>
      </c>
      <c r="F907" s="11" t="s">
        <v>24</v>
      </c>
      <c r="G907" s="11" t="s">
        <v>24</v>
      </c>
      <c r="H907" s="1"/>
      <c r="I907" s="1"/>
      <c r="J907" s="1"/>
    </row>
    <row r="908" spans="1:10" x14ac:dyDescent="0.25">
      <c r="A908" s="8" t="s">
        <v>4433</v>
      </c>
      <c r="B908" s="8" t="s">
        <v>6079</v>
      </c>
      <c r="C908" s="31">
        <v>1810</v>
      </c>
      <c r="D908" s="8" t="s">
        <v>1877</v>
      </c>
      <c r="E908" s="8" t="s">
        <v>4501</v>
      </c>
      <c r="F908" s="11" t="s">
        <v>24</v>
      </c>
      <c r="G908" s="11" t="s">
        <v>24</v>
      </c>
      <c r="H908" s="1"/>
      <c r="I908" s="1"/>
      <c r="J908" s="1"/>
    </row>
    <row r="909" spans="1:10" x14ac:dyDescent="0.25">
      <c r="A909" s="8" t="s">
        <v>4433</v>
      </c>
      <c r="B909" s="8" t="s">
        <v>6080</v>
      </c>
      <c r="C909" s="31">
        <v>868</v>
      </c>
      <c r="D909" s="8" t="s">
        <v>1877</v>
      </c>
      <c r="E909" s="8" t="s">
        <v>4501</v>
      </c>
      <c r="F909" s="11" t="s">
        <v>24</v>
      </c>
      <c r="G909" s="11" t="s">
        <v>24</v>
      </c>
      <c r="H909" s="1"/>
      <c r="I909" s="1"/>
      <c r="J909" s="1"/>
    </row>
    <row r="910" spans="1:10" x14ac:dyDescent="0.25">
      <c r="A910" s="8" t="s">
        <v>4433</v>
      </c>
      <c r="B910" s="8" t="s">
        <v>6081</v>
      </c>
      <c r="C910" s="31">
        <v>968</v>
      </c>
      <c r="D910" s="8" t="s">
        <v>1877</v>
      </c>
      <c r="E910" s="8" t="s">
        <v>4501</v>
      </c>
      <c r="F910" s="11" t="s">
        <v>24</v>
      </c>
      <c r="G910" s="11" t="s">
        <v>24</v>
      </c>
      <c r="H910" s="1"/>
      <c r="I910" s="1"/>
      <c r="J910" s="1"/>
    </row>
    <row r="911" spans="1:10" x14ac:dyDescent="0.25">
      <c r="A911" s="8" t="s">
        <v>4433</v>
      </c>
      <c r="B911" s="8" t="s">
        <v>6082</v>
      </c>
      <c r="C911" s="31" t="s">
        <v>6083</v>
      </c>
      <c r="D911" s="8" t="s">
        <v>1877</v>
      </c>
      <c r="E911" s="8" t="s">
        <v>4442</v>
      </c>
      <c r="F911" s="11" t="s">
        <v>195</v>
      </c>
      <c r="G911" s="11" t="s">
        <v>24</v>
      </c>
      <c r="H911" s="1"/>
      <c r="I911" s="1"/>
      <c r="J911" s="1"/>
    </row>
    <row r="912" spans="1:10" x14ac:dyDescent="0.25">
      <c r="A912" s="8" t="s">
        <v>4433</v>
      </c>
      <c r="B912" s="8" t="s">
        <v>6084</v>
      </c>
      <c r="C912" s="31" t="s">
        <v>6085</v>
      </c>
      <c r="D912" s="8" t="s">
        <v>1877</v>
      </c>
      <c r="E912" s="8" t="s">
        <v>4768</v>
      </c>
      <c r="F912" s="11" t="s">
        <v>24</v>
      </c>
      <c r="G912" s="11" t="s">
        <v>24</v>
      </c>
      <c r="H912" s="1"/>
      <c r="I912" s="1"/>
      <c r="J912" s="1"/>
    </row>
    <row r="913" spans="1:17" x14ac:dyDescent="0.25">
      <c r="A913" s="8" t="s">
        <v>4433</v>
      </c>
      <c r="B913" s="8" t="s">
        <v>6086</v>
      </c>
      <c r="C913" s="31" t="s">
        <v>6087</v>
      </c>
      <c r="D913" s="8" t="s">
        <v>1877</v>
      </c>
      <c r="E913" s="8" t="s">
        <v>4442</v>
      </c>
      <c r="F913" s="11" t="s">
        <v>24</v>
      </c>
      <c r="G913" s="11" t="s">
        <v>24</v>
      </c>
      <c r="H913" s="1"/>
      <c r="I913" s="1"/>
      <c r="J913" s="1"/>
    </row>
    <row r="914" spans="1:17" x14ac:dyDescent="0.25">
      <c r="A914" s="8" t="s">
        <v>4433</v>
      </c>
      <c r="B914" s="8" t="s">
        <v>6088</v>
      </c>
      <c r="C914" s="31" t="s">
        <v>6089</v>
      </c>
      <c r="D914" s="8" t="s">
        <v>1877</v>
      </c>
      <c r="E914" s="8" t="s">
        <v>4473</v>
      </c>
      <c r="F914" s="11" t="s">
        <v>24</v>
      </c>
      <c r="G914" s="11" t="s">
        <v>24</v>
      </c>
      <c r="H914" s="1"/>
      <c r="I914" s="1"/>
      <c r="J914" s="1"/>
    </row>
    <row r="915" spans="1:17" x14ac:dyDescent="0.25">
      <c r="A915" s="8" t="s">
        <v>4433</v>
      </c>
      <c r="B915" s="8" t="s">
        <v>6090</v>
      </c>
      <c r="C915" s="31" t="s">
        <v>6091</v>
      </c>
      <c r="D915" s="8" t="s">
        <v>1877</v>
      </c>
      <c r="E915" s="8" t="s">
        <v>4436</v>
      </c>
      <c r="F915" s="11" t="s">
        <v>195</v>
      </c>
      <c r="G915" s="11" t="s">
        <v>24</v>
      </c>
      <c r="H915" s="1"/>
      <c r="I915" s="1"/>
      <c r="J915" s="1"/>
    </row>
    <row r="916" spans="1:17" x14ac:dyDescent="0.25">
      <c r="A916" s="8" t="s">
        <v>4433</v>
      </c>
      <c r="B916" s="8" t="s">
        <v>6092</v>
      </c>
      <c r="C916" s="31" t="s">
        <v>6093</v>
      </c>
      <c r="D916" s="8" t="s">
        <v>1894</v>
      </c>
      <c r="E916" s="8" t="s">
        <v>4442</v>
      </c>
      <c r="F916" s="11" t="s">
        <v>24</v>
      </c>
      <c r="G916" s="11" t="s">
        <v>24</v>
      </c>
      <c r="H916" s="1"/>
      <c r="I916" s="1"/>
      <c r="J916" s="1"/>
    </row>
    <row r="917" spans="1:17" x14ac:dyDescent="0.25">
      <c r="A917" s="8" t="s">
        <v>4433</v>
      </c>
      <c r="B917" s="8" t="s">
        <v>6094</v>
      </c>
      <c r="C917" s="31">
        <v>881</v>
      </c>
      <c r="D917" s="8" t="s">
        <v>1877</v>
      </c>
      <c r="E917" s="8" t="s">
        <v>4501</v>
      </c>
      <c r="F917" s="11" t="s">
        <v>24</v>
      </c>
      <c r="G917" s="11" t="s">
        <v>24</v>
      </c>
      <c r="H917" s="1"/>
      <c r="I917" s="1"/>
      <c r="J917" s="1"/>
    </row>
    <row r="918" spans="1:17" x14ac:dyDescent="0.25">
      <c r="A918" s="8" t="s">
        <v>4433</v>
      </c>
      <c r="B918" s="8" t="s">
        <v>6095</v>
      </c>
      <c r="C918" s="31" t="s">
        <v>6096</v>
      </c>
      <c r="D918" s="8" t="s">
        <v>1877</v>
      </c>
      <c r="E918" s="8" t="s">
        <v>4442</v>
      </c>
      <c r="F918" s="11" t="s">
        <v>24</v>
      </c>
      <c r="G918" s="11" t="s">
        <v>24</v>
      </c>
      <c r="H918" s="1"/>
      <c r="I918" s="1"/>
      <c r="J918" s="1"/>
    </row>
    <row r="919" spans="1:17" x14ac:dyDescent="0.25">
      <c r="A919" s="8" t="s">
        <v>4433</v>
      </c>
      <c r="B919" s="8" t="s">
        <v>6097</v>
      </c>
      <c r="C919" s="31" t="s">
        <v>6098</v>
      </c>
      <c r="D919" s="8" t="s">
        <v>1877</v>
      </c>
      <c r="E919" s="8" t="s">
        <v>4436</v>
      </c>
      <c r="F919" s="11" t="s">
        <v>24</v>
      </c>
      <c r="G919" s="11" t="s">
        <v>24</v>
      </c>
      <c r="H919" s="1"/>
      <c r="I919" s="1"/>
      <c r="J919" s="1"/>
    </row>
    <row r="920" spans="1:17" x14ac:dyDescent="0.25">
      <c r="A920" s="8" t="s">
        <v>4433</v>
      </c>
      <c r="B920" s="8" t="s">
        <v>6099</v>
      </c>
      <c r="C920" s="31" t="s">
        <v>6100</v>
      </c>
      <c r="D920" s="8" t="s">
        <v>1877</v>
      </c>
      <c r="E920" s="8" t="s">
        <v>4436</v>
      </c>
      <c r="F920" s="11" t="s">
        <v>24</v>
      </c>
      <c r="G920" s="11" t="s">
        <v>24</v>
      </c>
      <c r="H920" s="1"/>
      <c r="I920" s="1"/>
      <c r="J920" s="1"/>
    </row>
    <row r="921" spans="1:17" x14ac:dyDescent="0.25">
      <c r="A921" s="8" t="s">
        <v>4433</v>
      </c>
      <c r="B921" s="8" t="s">
        <v>6101</v>
      </c>
      <c r="C921" s="31" t="s">
        <v>6102</v>
      </c>
      <c r="D921" s="8" t="s">
        <v>1877</v>
      </c>
      <c r="E921" s="8" t="s">
        <v>4453</v>
      </c>
      <c r="F921" s="11" t="s">
        <v>24</v>
      </c>
      <c r="G921" s="11" t="s">
        <v>24</v>
      </c>
      <c r="H921" s="1"/>
      <c r="I921" s="1"/>
      <c r="J921" s="1"/>
    </row>
    <row r="922" spans="1:17" x14ac:dyDescent="0.25">
      <c r="A922" s="8"/>
      <c r="B922" s="8"/>
      <c r="C922" s="31"/>
      <c r="D922" s="8"/>
      <c r="E922" s="8"/>
      <c r="F922" s="11"/>
      <c r="G922" s="11"/>
      <c r="H922" s="1"/>
      <c r="I922" s="1"/>
      <c r="J922" s="1"/>
    </row>
    <row r="923" spans="1:17" x14ac:dyDescent="0.25">
      <c r="A923" s="34" t="s">
        <v>6103</v>
      </c>
      <c r="B923" s="7"/>
      <c r="C923" s="19"/>
      <c r="D923" s="13"/>
      <c r="E923" s="13"/>
      <c r="F923" s="14"/>
      <c r="G923" s="7"/>
      <c r="H923" s="15"/>
      <c r="I923" s="7"/>
      <c r="J923" s="7"/>
      <c r="K923" s="7"/>
      <c r="L923" s="7"/>
      <c r="M923" s="7"/>
      <c r="N923" s="7"/>
      <c r="O923" s="7"/>
      <c r="P923" s="7"/>
      <c r="Q923" s="7"/>
    </row>
    <row r="924" spans="1:17" x14ac:dyDescent="0.25">
      <c r="A924" s="9" t="s">
        <v>6104</v>
      </c>
      <c r="B924" s="7"/>
      <c r="C924" s="19"/>
      <c r="D924" s="13"/>
      <c r="E924" s="13"/>
      <c r="F924" s="14"/>
      <c r="G924" s="7"/>
      <c r="H924" s="15"/>
      <c r="I924" s="7"/>
      <c r="J924" s="7"/>
      <c r="K924" s="7"/>
      <c r="L924" s="7"/>
      <c r="M924" s="7"/>
      <c r="N924" s="7"/>
      <c r="O924" s="7"/>
      <c r="P924" s="7"/>
      <c r="Q924" s="7"/>
    </row>
    <row r="925" spans="1:17" x14ac:dyDescent="0.25">
      <c r="A925" s="36" t="s">
        <v>6105</v>
      </c>
      <c r="B925" s="7"/>
      <c r="C925" s="19"/>
      <c r="D925" s="13"/>
      <c r="E925" s="13"/>
      <c r="F925" s="14"/>
      <c r="G925" s="7"/>
      <c r="H925" s="15"/>
      <c r="I925" s="7"/>
      <c r="J925" s="7"/>
      <c r="K925" s="7"/>
      <c r="L925" s="7"/>
      <c r="M925" s="7"/>
      <c r="N925" s="7"/>
      <c r="O925" s="7"/>
      <c r="P925" s="7"/>
      <c r="Q925" s="7"/>
    </row>
    <row r="926" spans="1:17" x14ac:dyDescent="0.25">
      <c r="A926" s="36"/>
      <c r="B926" s="7"/>
      <c r="C926" s="19"/>
      <c r="D926" s="13"/>
      <c r="E926" s="13"/>
      <c r="F926" s="14"/>
      <c r="G926" s="7"/>
      <c r="H926" s="15"/>
      <c r="I926" s="7"/>
      <c r="J926" s="7"/>
      <c r="K926" s="7"/>
      <c r="L926" s="7"/>
      <c r="M926" s="7"/>
      <c r="N926" s="7"/>
      <c r="O926" s="7"/>
      <c r="P926" s="7"/>
      <c r="Q926" s="7"/>
    </row>
    <row r="927" spans="1:17" x14ac:dyDescent="0.25">
      <c r="A927" s="9" t="s">
        <v>6106</v>
      </c>
      <c r="B927" s="9" t="s">
        <v>6107</v>
      </c>
      <c r="C927" s="19"/>
      <c r="D927" s="13"/>
      <c r="E927" s="13"/>
      <c r="F927" s="14"/>
      <c r="G927" s="7"/>
      <c r="H927" s="15"/>
      <c r="I927" s="7"/>
      <c r="J927" s="7"/>
      <c r="K927" s="7"/>
      <c r="L927" s="7"/>
      <c r="M927" s="7"/>
      <c r="N927" s="7"/>
      <c r="O927" s="7"/>
      <c r="P927" s="7"/>
      <c r="Q927" s="7"/>
    </row>
    <row r="928" spans="1:17" x14ac:dyDescent="0.25">
      <c r="A928" s="5" t="s">
        <v>6108</v>
      </c>
      <c r="B928" t="s">
        <v>6109</v>
      </c>
      <c r="C928" s="19"/>
      <c r="D928" s="13"/>
      <c r="E928" s="13"/>
      <c r="F928" s="14"/>
      <c r="G928" s="7"/>
      <c r="H928" s="15"/>
      <c r="I928" s="7"/>
      <c r="J928" s="7"/>
      <c r="K928" s="7"/>
      <c r="L928" s="7"/>
      <c r="M928" s="7"/>
      <c r="N928" s="7"/>
      <c r="O928" s="7"/>
      <c r="P928" s="7"/>
      <c r="Q928" s="7"/>
    </row>
    <row r="929" spans="1:17" ht="45" x14ac:dyDescent="0.25">
      <c r="A929" s="5" t="s">
        <v>6110</v>
      </c>
      <c r="B929" t="s">
        <v>6111</v>
      </c>
      <c r="C929" s="19"/>
      <c r="D929" s="13"/>
      <c r="E929" s="13"/>
      <c r="F929" s="14"/>
      <c r="G929" s="7"/>
      <c r="H929" s="15"/>
      <c r="I929" s="7"/>
      <c r="J929" s="7"/>
      <c r="K929" s="7"/>
      <c r="L929" s="7"/>
      <c r="M929" s="7"/>
      <c r="N929" s="7"/>
      <c r="O929" s="7"/>
      <c r="P929" s="7"/>
      <c r="Q929" s="7"/>
    </row>
    <row r="930" spans="1:17" x14ac:dyDescent="0.25">
      <c r="A930" s="5" t="s">
        <v>6112</v>
      </c>
      <c r="B930" t="s">
        <v>6113</v>
      </c>
      <c r="C930" s="19"/>
      <c r="D930" s="13"/>
      <c r="E930" s="13"/>
      <c r="F930" s="14"/>
      <c r="G930" s="7"/>
      <c r="H930" s="15"/>
      <c r="I930" s="7"/>
      <c r="J930" s="7"/>
      <c r="K930" s="7"/>
      <c r="L930" s="7"/>
      <c r="M930" s="7"/>
      <c r="N930" s="7"/>
      <c r="O930" s="7"/>
      <c r="P930" s="7"/>
      <c r="Q930" s="7"/>
    </row>
    <row r="931" spans="1:17" x14ac:dyDescent="0.25">
      <c r="A931" s="5" t="s">
        <v>6114</v>
      </c>
      <c r="B931" s="1" t="s">
        <v>6115</v>
      </c>
      <c r="C931" s="19"/>
      <c r="D931" s="13"/>
      <c r="E931" s="13"/>
      <c r="F931" s="14"/>
      <c r="G931" s="7"/>
      <c r="H931" s="15"/>
      <c r="I931" s="7"/>
      <c r="J931" s="7"/>
      <c r="K931" s="7"/>
      <c r="L931" s="7"/>
      <c r="M931" s="7"/>
      <c r="N931" s="7"/>
      <c r="O931" s="7"/>
      <c r="P931" s="7"/>
      <c r="Q931" s="7"/>
    </row>
    <row r="932" spans="1:17" x14ac:dyDescent="0.25">
      <c r="A932" s="5" t="s">
        <v>6116</v>
      </c>
      <c r="B932" t="s">
        <v>6117</v>
      </c>
      <c r="C932" s="19"/>
      <c r="D932" s="13"/>
      <c r="E932" s="13"/>
      <c r="F932" s="14"/>
      <c r="G932" s="7"/>
      <c r="H932" s="15"/>
      <c r="I932" s="7"/>
      <c r="J932" s="7"/>
      <c r="K932" s="7"/>
      <c r="L932" s="7"/>
      <c r="M932" s="7"/>
      <c r="N932" s="7"/>
      <c r="O932" s="7"/>
      <c r="P932" s="7"/>
      <c r="Q932" s="7"/>
    </row>
    <row r="933" spans="1:17" x14ac:dyDescent="0.25">
      <c r="A933" s="5" t="s">
        <v>6118</v>
      </c>
      <c r="B933" s="1" t="s">
        <v>6119</v>
      </c>
      <c r="C933" s="19"/>
      <c r="D933" s="13"/>
      <c r="E933" s="13"/>
      <c r="F933" s="14"/>
      <c r="G933" s="7"/>
      <c r="H933" s="15"/>
      <c r="I933" s="7"/>
      <c r="J933" s="7"/>
      <c r="K933" s="7"/>
      <c r="L933" s="7"/>
      <c r="M933" s="7"/>
      <c r="N933" s="7"/>
      <c r="O933" s="7"/>
      <c r="P933" s="7"/>
      <c r="Q933" s="7"/>
    </row>
    <row r="934" spans="1:17" x14ac:dyDescent="0.25">
      <c r="A934" s="5" t="s">
        <v>6120</v>
      </c>
      <c r="B934" s="1" t="s">
        <v>6121</v>
      </c>
      <c r="C934" s="19"/>
      <c r="D934" s="13"/>
      <c r="E934" s="13"/>
      <c r="F934" s="14"/>
      <c r="G934" s="7"/>
      <c r="H934" s="15"/>
      <c r="I934" s="7"/>
      <c r="J934" s="7"/>
      <c r="K934" s="7"/>
      <c r="L934" s="7"/>
      <c r="M934" s="7"/>
      <c r="N934" s="7"/>
      <c r="O934" s="7"/>
      <c r="P934" s="7"/>
      <c r="Q934" s="7"/>
    </row>
    <row r="935" spans="1:17" x14ac:dyDescent="0.25">
      <c r="A935" s="5" t="s">
        <v>6122</v>
      </c>
      <c r="B935" t="s">
        <v>6123</v>
      </c>
      <c r="C935" s="19"/>
      <c r="D935" s="13"/>
      <c r="E935" s="13"/>
      <c r="F935" s="14"/>
      <c r="G935" s="7"/>
      <c r="H935" s="15"/>
      <c r="I935" s="7"/>
      <c r="J935" s="7"/>
      <c r="K935" s="7"/>
      <c r="L935" s="7"/>
      <c r="M935" s="7"/>
      <c r="N935" s="7"/>
      <c r="O935" s="7"/>
      <c r="P935" s="7"/>
      <c r="Q935" s="7"/>
    </row>
    <row r="936" spans="1:17" x14ac:dyDescent="0.25">
      <c r="A936" s="1" t="s">
        <v>6124</v>
      </c>
      <c r="B936" s="1" t="s">
        <v>6125</v>
      </c>
      <c r="C936" s="19"/>
      <c r="D936" s="13"/>
      <c r="E936" s="13"/>
      <c r="F936" s="14"/>
      <c r="G936" s="7"/>
      <c r="H936" s="15"/>
      <c r="I936" s="7"/>
      <c r="J936" s="7"/>
      <c r="K936" s="7"/>
      <c r="L936" s="7"/>
      <c r="M936" s="7"/>
      <c r="N936" s="7"/>
      <c r="O936" s="7"/>
      <c r="P936" s="7"/>
      <c r="Q936" s="7"/>
    </row>
    <row r="937" spans="1:17" x14ac:dyDescent="0.25">
      <c r="A937" s="1" t="s">
        <v>6126</v>
      </c>
      <c r="B937" t="s">
        <v>6127</v>
      </c>
      <c r="C937" s="19"/>
      <c r="D937" s="13"/>
      <c r="E937" s="13"/>
      <c r="F937" s="14"/>
      <c r="G937" s="7"/>
      <c r="H937" s="15"/>
      <c r="I937" s="7"/>
      <c r="J937" s="7"/>
      <c r="K937" s="7"/>
      <c r="L937" s="7"/>
      <c r="M937" s="7"/>
      <c r="N937" s="7"/>
      <c r="O937" s="7"/>
      <c r="P937" s="7"/>
      <c r="Q937" s="7"/>
    </row>
    <row r="938" spans="1:17" x14ac:dyDescent="0.25">
      <c r="A938" s="5" t="s">
        <v>6128</v>
      </c>
      <c r="B938" t="s">
        <v>6129</v>
      </c>
      <c r="C938" s="19"/>
      <c r="D938" s="13"/>
      <c r="E938" s="13"/>
      <c r="F938" s="14"/>
      <c r="G938" s="7"/>
      <c r="H938" s="15"/>
      <c r="I938" s="7"/>
      <c r="J938" s="7"/>
      <c r="K938" s="7"/>
      <c r="L938" s="7"/>
      <c r="M938" s="7"/>
      <c r="N938" s="7"/>
      <c r="O938" s="7"/>
      <c r="P938" s="7"/>
      <c r="Q938" s="7"/>
    </row>
    <row r="939" spans="1:17" x14ac:dyDescent="0.25">
      <c r="A939" s="5" t="s">
        <v>6130</v>
      </c>
      <c r="B939" t="s">
        <v>6131</v>
      </c>
      <c r="C939" s="19"/>
      <c r="D939" s="13"/>
      <c r="E939" s="13"/>
      <c r="F939" s="14"/>
      <c r="G939" s="7"/>
      <c r="H939" s="15"/>
      <c r="I939" s="7"/>
      <c r="J939" s="7"/>
      <c r="K939" s="7"/>
      <c r="L939" s="7"/>
      <c r="M939" s="7"/>
      <c r="N939" s="7"/>
      <c r="O939" s="7"/>
      <c r="P939" s="7"/>
      <c r="Q939" s="7"/>
    </row>
    <row r="940" spans="1:17" x14ac:dyDescent="0.25">
      <c r="A940" s="5" t="s">
        <v>6132</v>
      </c>
      <c r="B940" s="1" t="s">
        <v>6133</v>
      </c>
      <c r="C940" s="19"/>
      <c r="D940" s="13"/>
      <c r="E940" s="13"/>
      <c r="F940" s="14"/>
      <c r="G940" s="7"/>
      <c r="H940" s="15"/>
      <c r="I940" s="7"/>
      <c r="J940" s="7"/>
      <c r="K940" s="7"/>
      <c r="L940" s="7"/>
      <c r="M940" s="7"/>
      <c r="N940" s="7"/>
      <c r="O940" s="7"/>
      <c r="P940" s="7"/>
      <c r="Q940" s="7"/>
    </row>
    <row r="941" spans="1:17" ht="30" x14ac:dyDescent="0.25">
      <c r="A941" s="5" t="s">
        <v>6134</v>
      </c>
      <c r="B941" s="1" t="s">
        <v>6135</v>
      </c>
      <c r="C941" s="19"/>
      <c r="D941" s="13"/>
      <c r="E941" s="13"/>
      <c r="F941" s="14"/>
      <c r="G941" s="7"/>
      <c r="H941" s="15"/>
      <c r="I941" s="7"/>
      <c r="J941" s="7"/>
      <c r="K941" s="7"/>
      <c r="L941" s="7"/>
      <c r="M941" s="7"/>
      <c r="N941" s="7"/>
      <c r="O941" s="7"/>
      <c r="P941" s="7"/>
      <c r="Q941" s="7"/>
    </row>
    <row r="942" spans="1:17" x14ac:dyDescent="0.25">
      <c r="A942" s="5" t="s">
        <v>6136</v>
      </c>
      <c r="B942" s="1" t="s">
        <v>6137</v>
      </c>
      <c r="C942" s="19"/>
      <c r="D942" s="13"/>
      <c r="E942" s="13"/>
      <c r="F942" s="14"/>
      <c r="G942" s="7"/>
      <c r="H942" s="15"/>
      <c r="I942" s="7"/>
      <c r="J942" s="7"/>
      <c r="K942" s="7"/>
      <c r="L942" s="7"/>
      <c r="M942" s="7"/>
      <c r="N942" s="7"/>
      <c r="O942" s="7"/>
      <c r="P942" s="7"/>
      <c r="Q942" s="7"/>
    </row>
    <row r="943" spans="1:17" x14ac:dyDescent="0.25">
      <c r="A943" s="5" t="s">
        <v>6138</v>
      </c>
      <c r="B943" t="s">
        <v>6139</v>
      </c>
      <c r="C943" s="19"/>
      <c r="D943" s="13"/>
      <c r="E943" s="13"/>
      <c r="F943" s="14"/>
      <c r="G943" s="7"/>
      <c r="H943" s="15"/>
      <c r="I943" s="7"/>
      <c r="J943" s="7"/>
      <c r="K943" s="7"/>
      <c r="L943" s="7"/>
      <c r="M943" s="7"/>
      <c r="N943" s="7"/>
      <c r="O943" s="7"/>
      <c r="P943" s="7"/>
      <c r="Q943" s="7"/>
    </row>
    <row r="944" spans="1:17" x14ac:dyDescent="0.25">
      <c r="A944" s="5" t="s">
        <v>6140</v>
      </c>
      <c r="B944" t="s">
        <v>6141</v>
      </c>
      <c r="C944" s="19"/>
      <c r="D944" s="13"/>
      <c r="E944" s="13"/>
      <c r="F944" s="14"/>
      <c r="G944" s="7"/>
      <c r="H944" s="15"/>
      <c r="I944" s="7"/>
      <c r="J944" s="7"/>
      <c r="K944" s="7"/>
      <c r="L944" s="7"/>
      <c r="M944" s="7"/>
      <c r="N944" s="7"/>
      <c r="O944" s="7"/>
      <c r="P944" s="7"/>
      <c r="Q944" s="7"/>
    </row>
    <row r="945" spans="1:17" x14ac:dyDescent="0.25">
      <c r="A945" s="5" t="s">
        <v>6142</v>
      </c>
      <c r="B945" t="s">
        <v>6143</v>
      </c>
      <c r="C945" s="19"/>
      <c r="D945" s="13"/>
      <c r="E945" s="13"/>
      <c r="F945" s="14"/>
      <c r="G945" s="7"/>
      <c r="H945" s="15"/>
      <c r="I945" s="7"/>
      <c r="J945" s="7"/>
      <c r="K945" s="7"/>
      <c r="L945" s="7"/>
      <c r="M945" s="7"/>
      <c r="N945" s="7"/>
      <c r="O945" s="7"/>
      <c r="P945" s="7"/>
      <c r="Q945" s="7"/>
    </row>
    <row r="946" spans="1:17" x14ac:dyDescent="0.25">
      <c r="A946" s="5" t="s">
        <v>6144</v>
      </c>
      <c r="B946" t="s">
        <v>6145</v>
      </c>
      <c r="C946" s="5"/>
      <c r="D946" s="5"/>
      <c r="E946" s="5"/>
      <c r="F946" s="5"/>
      <c r="G946" s="5"/>
      <c r="J946" s="5"/>
      <c r="K946" s="5"/>
      <c r="L946" s="5"/>
      <c r="M946" s="5"/>
      <c r="N946" s="5"/>
      <c r="O946" s="5"/>
      <c r="P946" s="5"/>
      <c r="Q946" s="5"/>
    </row>
    <row r="947" spans="1:17" s="5" customFormat="1" x14ac:dyDescent="0.25">
      <c r="C947" s="31"/>
      <c r="J947" s="11"/>
    </row>
    <row r="948" spans="1:17" s="5" customFormat="1" x14ac:dyDescent="0.25">
      <c r="A948" s="9" t="s">
        <v>1502</v>
      </c>
      <c r="C948" s="31"/>
      <c r="J948" s="11"/>
    </row>
    <row r="949" spans="1:17" s="5" customFormat="1" x14ac:dyDescent="0.25">
      <c r="A949" s="34" t="s">
        <v>6146</v>
      </c>
      <c r="C949" s="31"/>
      <c r="J949" s="11"/>
    </row>
    <row r="950" spans="1:17" s="5" customFormat="1" x14ac:dyDescent="0.25">
      <c r="A950" s="34"/>
      <c r="C950" s="31"/>
      <c r="J950" s="11"/>
    </row>
    <row r="951" spans="1:17" s="5" customFormat="1" x14ac:dyDescent="0.25">
      <c r="A951" s="22" t="s">
        <v>1508</v>
      </c>
      <c r="B951" s="21"/>
      <c r="C951" s="31"/>
      <c r="J951" s="11"/>
    </row>
    <row r="952" spans="1:17" s="5" customFormat="1" x14ac:dyDescent="0.25">
      <c r="C952" s="31"/>
      <c r="J952" s="11"/>
    </row>
    <row r="953" spans="1:17" s="5" customFormat="1" ht="15" customHeight="1" x14ac:dyDescent="0.25">
      <c r="A953" s="71" t="s">
        <v>6147</v>
      </c>
      <c r="B953" s="71"/>
      <c r="C953" s="71"/>
      <c r="D953" s="71"/>
      <c r="E953" s="71"/>
      <c r="F953" s="71"/>
      <c r="G953" s="71"/>
      <c r="H953" s="71"/>
      <c r="I953" s="71"/>
      <c r="J953" s="71"/>
      <c r="K953" s="71"/>
      <c r="L953" s="71"/>
    </row>
    <row r="954" spans="1:17" s="5" customFormat="1" x14ac:dyDescent="0.25">
      <c r="A954" s="71"/>
      <c r="B954" s="71"/>
      <c r="C954" s="71"/>
      <c r="D954" s="71"/>
      <c r="E954" s="71"/>
      <c r="F954" s="71"/>
      <c r="G954" s="71"/>
      <c r="H954" s="71"/>
      <c r="I954" s="71"/>
      <c r="J954" s="71"/>
      <c r="K954" s="71"/>
      <c r="L954" s="71"/>
    </row>
    <row r="955" spans="1:17" s="5" customFormat="1" x14ac:dyDescent="0.25">
      <c r="A955" s="71"/>
      <c r="B955" s="71"/>
      <c r="C955" s="71"/>
      <c r="D955" s="71"/>
      <c r="E955" s="71"/>
      <c r="F955" s="71"/>
      <c r="G955" s="71"/>
      <c r="H955" s="71"/>
      <c r="I955" s="71"/>
      <c r="J955" s="71"/>
      <c r="K955" s="71"/>
      <c r="L955" s="71"/>
    </row>
    <row r="956" spans="1:17" s="5" customFormat="1" x14ac:dyDescent="0.25">
      <c r="C956" s="32"/>
      <c r="D956" s="20"/>
      <c r="E956" s="20"/>
      <c r="J956" s="11"/>
    </row>
    <row r="957" spans="1:17" s="5" customFormat="1" ht="15" customHeight="1" x14ac:dyDescent="0.25">
      <c r="A957" s="72" t="s">
        <v>6148</v>
      </c>
      <c r="B957" s="72"/>
      <c r="C957" s="72"/>
      <c r="D957" s="72"/>
      <c r="E957" s="72"/>
      <c r="F957" s="72"/>
      <c r="G957" s="72"/>
      <c r="H957" s="72"/>
      <c r="I957" s="72"/>
      <c r="J957" s="72"/>
      <c r="K957" s="72"/>
      <c r="L957" s="72"/>
    </row>
    <row r="958" spans="1:17" s="5" customFormat="1" x14ac:dyDescent="0.25">
      <c r="A958" s="72"/>
      <c r="B958" s="72"/>
      <c r="C958" s="72"/>
      <c r="D958" s="72"/>
      <c r="E958" s="72"/>
      <c r="F958" s="72"/>
      <c r="G958" s="72"/>
      <c r="H958" s="72"/>
      <c r="I958" s="72"/>
      <c r="J958" s="72"/>
      <c r="K958" s="72"/>
      <c r="L958" s="72"/>
    </row>
    <row r="959" spans="1:17" s="5" customFormat="1" x14ac:dyDescent="0.25">
      <c r="A959" s="72"/>
      <c r="B959" s="72"/>
      <c r="C959" s="72"/>
      <c r="D959" s="72"/>
      <c r="E959" s="72"/>
      <c r="F959" s="72"/>
      <c r="G959" s="72"/>
      <c r="H959" s="72"/>
      <c r="I959" s="72"/>
      <c r="J959" s="72"/>
      <c r="K959" s="72"/>
      <c r="L959" s="72"/>
    </row>
    <row r="960" spans="1:17" s="5" customFormat="1" x14ac:dyDescent="0.25">
      <c r="A960" s="72"/>
      <c r="B960" s="72"/>
      <c r="C960" s="72"/>
      <c r="D960" s="72"/>
      <c r="E960" s="72"/>
      <c r="F960" s="72"/>
      <c r="G960" s="72"/>
      <c r="H960" s="72"/>
      <c r="I960" s="72"/>
      <c r="J960" s="72"/>
      <c r="K960" s="72"/>
      <c r="L960" s="72"/>
    </row>
    <row r="961" spans="1:12" s="5" customFormat="1" x14ac:dyDescent="0.25">
      <c r="A961" s="72"/>
      <c r="B961" s="72"/>
      <c r="C961" s="72"/>
      <c r="D961" s="72"/>
      <c r="E961" s="72"/>
      <c r="F961" s="72"/>
      <c r="G961" s="72"/>
      <c r="H961" s="72"/>
      <c r="I961" s="72"/>
      <c r="J961" s="72"/>
      <c r="K961" s="72"/>
      <c r="L961" s="72"/>
    </row>
    <row r="962" spans="1:12" s="5" customFormat="1" x14ac:dyDescent="0.25">
      <c r="A962" s="35"/>
      <c r="B962" s="35"/>
      <c r="C962" s="35"/>
      <c r="D962" s="35"/>
      <c r="E962" s="35"/>
      <c r="F962" s="35"/>
      <c r="G962" s="35"/>
      <c r="H962" s="35"/>
      <c r="I962" s="35"/>
      <c r="J962" s="35"/>
      <c r="K962" s="35"/>
      <c r="L962" s="35"/>
    </row>
    <row r="963" spans="1:12" s="5" customFormat="1" ht="14.25" customHeight="1" x14ac:dyDescent="0.25">
      <c r="A963" s="35"/>
      <c r="B963" s="35"/>
      <c r="C963" s="35"/>
      <c r="D963" s="35"/>
      <c r="E963" s="35"/>
      <c r="F963" s="35"/>
      <c r="G963" s="35"/>
      <c r="H963" s="35"/>
      <c r="I963" s="35"/>
      <c r="J963" s="35"/>
      <c r="K963" s="35"/>
      <c r="L963" s="35"/>
    </row>
    <row r="964" spans="1:12" s="5" customFormat="1" x14ac:dyDescent="0.25">
      <c r="C964" s="32"/>
      <c r="D964" s="20"/>
      <c r="E964" s="20"/>
      <c r="J964" s="11"/>
    </row>
    <row r="965" spans="1:12" s="5" customFormat="1" x14ac:dyDescent="0.25">
      <c r="C965" s="32"/>
      <c r="D965" s="20"/>
      <c r="E965" s="20"/>
      <c r="J965" s="11"/>
    </row>
    <row r="966" spans="1:12" s="5" customFormat="1" x14ac:dyDescent="0.25">
      <c r="C966" s="32"/>
      <c r="D966" s="20"/>
      <c r="E966" s="20"/>
      <c r="J966" s="11"/>
    </row>
    <row r="967" spans="1:12" s="5" customFormat="1" x14ac:dyDescent="0.25">
      <c r="C967" s="32"/>
      <c r="D967" s="20"/>
      <c r="E967" s="20"/>
      <c r="J967" s="11"/>
    </row>
    <row r="968" spans="1:12" s="5" customFormat="1" x14ac:dyDescent="0.25">
      <c r="C968" s="32"/>
      <c r="D968" s="20"/>
      <c r="E968" s="20"/>
      <c r="J968" s="11"/>
    </row>
    <row r="969" spans="1:12" s="5" customFormat="1" x14ac:dyDescent="0.25">
      <c r="A969" s="20"/>
      <c r="B969" s="20"/>
      <c r="C969" s="32"/>
      <c r="D969" s="20"/>
      <c r="E969" s="20"/>
      <c r="J969" s="11"/>
    </row>
    <row r="970" spans="1:12" s="5" customFormat="1" x14ac:dyDescent="0.25">
      <c r="C970" s="31"/>
      <c r="J970" s="11"/>
    </row>
    <row r="971" spans="1:12" s="5" customFormat="1" x14ac:dyDescent="0.25">
      <c r="C971" s="31"/>
      <c r="J971" s="11"/>
    </row>
    <row r="972" spans="1:12" s="5" customFormat="1" x14ac:dyDescent="0.25">
      <c r="C972" s="31"/>
      <c r="J972" s="11"/>
    </row>
    <row r="973" spans="1:12" s="5" customFormat="1" x14ac:dyDescent="0.25">
      <c r="C973" s="31"/>
      <c r="J973" s="11"/>
    </row>
    <row r="974" spans="1:12" s="5" customFormat="1" x14ac:dyDescent="0.25">
      <c r="C974" s="31"/>
      <c r="J974" s="11"/>
    </row>
    <row r="975" spans="1:12" s="5" customFormat="1" x14ac:dyDescent="0.25">
      <c r="C975" s="31"/>
      <c r="J975" s="11"/>
    </row>
    <row r="976" spans="1:12" s="5" customFormat="1" x14ac:dyDescent="0.25">
      <c r="C976" s="31"/>
      <c r="J976" s="11"/>
    </row>
    <row r="977" spans="3:10" s="5" customFormat="1" x14ac:dyDescent="0.25">
      <c r="C977" s="31"/>
      <c r="J977" s="11"/>
    </row>
    <row r="978" spans="3:10" s="5" customFormat="1" x14ac:dyDescent="0.25">
      <c r="C978" s="31"/>
      <c r="J978" s="11"/>
    </row>
    <row r="979" spans="3:10" s="5" customFormat="1" x14ac:dyDescent="0.25">
      <c r="C979" s="31"/>
      <c r="J979" s="11"/>
    </row>
    <row r="980" spans="3:10" s="5" customFormat="1" x14ac:dyDescent="0.25">
      <c r="C980" s="31"/>
      <c r="J980" s="11"/>
    </row>
    <row r="981" spans="3:10" s="5" customFormat="1" x14ac:dyDescent="0.25">
      <c r="C981" s="31"/>
      <c r="J981" s="11"/>
    </row>
    <row r="982" spans="3:10" s="5" customFormat="1" x14ac:dyDescent="0.25">
      <c r="C982" s="31"/>
      <c r="J982" s="11"/>
    </row>
    <row r="983" spans="3:10" s="5" customFormat="1" x14ac:dyDescent="0.25">
      <c r="C983" s="31"/>
      <c r="J983" s="11"/>
    </row>
    <row r="984" spans="3:10" s="5" customFormat="1" x14ac:dyDescent="0.25">
      <c r="C984" s="31"/>
      <c r="J984" s="11"/>
    </row>
    <row r="985" spans="3:10" s="5" customFormat="1" x14ac:dyDescent="0.25">
      <c r="C985" s="31"/>
      <c r="J985" s="11"/>
    </row>
    <row r="986" spans="3:10" s="5" customFormat="1" x14ac:dyDescent="0.25">
      <c r="C986" s="31"/>
      <c r="J986" s="11"/>
    </row>
    <row r="987" spans="3:10" s="5" customFormat="1" x14ac:dyDescent="0.25">
      <c r="C987" s="31"/>
      <c r="J987" s="11"/>
    </row>
    <row r="988" spans="3:10" s="5" customFormat="1" x14ac:dyDescent="0.25">
      <c r="C988" s="31"/>
      <c r="J988" s="11"/>
    </row>
    <row r="989" spans="3:10" s="5" customFormat="1" x14ac:dyDescent="0.25">
      <c r="C989" s="31"/>
      <c r="J989" s="11"/>
    </row>
    <row r="990" spans="3:10" s="5" customFormat="1" x14ac:dyDescent="0.25">
      <c r="C990" s="31"/>
      <c r="J990" s="11"/>
    </row>
    <row r="991" spans="3:10" s="5" customFormat="1" x14ac:dyDescent="0.25">
      <c r="C991" s="31"/>
      <c r="J991" s="11"/>
    </row>
    <row r="992" spans="3:10" s="5" customFormat="1" x14ac:dyDescent="0.25">
      <c r="C992" s="31"/>
      <c r="J992" s="11"/>
    </row>
    <row r="993" spans="3:10" s="5" customFormat="1" x14ac:dyDescent="0.25">
      <c r="C993" s="31"/>
      <c r="J993" s="11"/>
    </row>
    <row r="994" spans="3:10" s="5" customFormat="1" x14ac:dyDescent="0.25">
      <c r="C994" s="31"/>
      <c r="J994" s="11"/>
    </row>
    <row r="995" spans="3:10" s="5" customFormat="1" x14ac:dyDescent="0.25">
      <c r="C995" s="31"/>
      <c r="J995" s="11"/>
    </row>
    <row r="996" spans="3:10" s="5" customFormat="1" x14ac:dyDescent="0.25">
      <c r="C996" s="31"/>
      <c r="J996" s="11"/>
    </row>
    <row r="997" spans="3:10" s="5" customFormat="1" x14ac:dyDescent="0.25">
      <c r="C997" s="31"/>
      <c r="J997" s="11"/>
    </row>
    <row r="998" spans="3:10" s="5" customFormat="1" x14ac:dyDescent="0.25">
      <c r="C998" s="31"/>
      <c r="J998" s="11"/>
    </row>
    <row r="999" spans="3:10" s="5" customFormat="1" x14ac:dyDescent="0.25">
      <c r="C999" s="31"/>
      <c r="J999" s="11"/>
    </row>
    <row r="1000" spans="3:10" s="5" customFormat="1" x14ac:dyDescent="0.25">
      <c r="C1000" s="31"/>
      <c r="J1000" s="11"/>
    </row>
    <row r="1001" spans="3:10" s="5" customFormat="1" x14ac:dyDescent="0.25">
      <c r="C1001" s="31"/>
      <c r="J1001" s="11"/>
    </row>
    <row r="1002" spans="3:10" s="5" customFormat="1" x14ac:dyDescent="0.25">
      <c r="C1002" s="31"/>
      <c r="J1002" s="11"/>
    </row>
    <row r="1003" spans="3:10" s="5" customFormat="1" x14ac:dyDescent="0.25">
      <c r="C1003" s="31"/>
      <c r="J1003" s="11"/>
    </row>
    <row r="1004" spans="3:10" s="5" customFormat="1" x14ac:dyDescent="0.25">
      <c r="C1004" s="31"/>
      <c r="J1004" s="11"/>
    </row>
    <row r="1005" spans="3:10" s="5" customFormat="1" x14ac:dyDescent="0.25">
      <c r="C1005" s="31"/>
      <c r="J1005" s="11"/>
    </row>
    <row r="1006" spans="3:10" s="5" customFormat="1" x14ac:dyDescent="0.25">
      <c r="C1006" s="31"/>
      <c r="J1006" s="11"/>
    </row>
    <row r="1007" spans="3:10" s="5" customFormat="1" x14ac:dyDescent="0.25">
      <c r="C1007" s="31"/>
      <c r="J1007" s="11"/>
    </row>
    <row r="1008" spans="3:10" s="5" customFormat="1" x14ac:dyDescent="0.25">
      <c r="C1008" s="31"/>
      <c r="J1008" s="11"/>
    </row>
    <row r="1009" spans="3:10" s="5" customFormat="1" x14ac:dyDescent="0.25">
      <c r="C1009" s="31"/>
      <c r="J1009" s="11"/>
    </row>
    <row r="1010" spans="3:10" s="5" customFormat="1" x14ac:dyDescent="0.25">
      <c r="C1010" s="31"/>
      <c r="J1010" s="11"/>
    </row>
    <row r="1011" spans="3:10" s="5" customFormat="1" x14ac:dyDescent="0.25">
      <c r="C1011" s="31"/>
      <c r="J1011" s="11"/>
    </row>
    <row r="1012" spans="3:10" s="5" customFormat="1" x14ac:dyDescent="0.25">
      <c r="C1012" s="31"/>
      <c r="J1012" s="11"/>
    </row>
    <row r="1013" spans="3:10" s="5" customFormat="1" x14ac:dyDescent="0.25">
      <c r="C1013" s="31"/>
      <c r="J1013" s="11"/>
    </row>
    <row r="1014" spans="3:10" s="5" customFormat="1" x14ac:dyDescent="0.25">
      <c r="C1014" s="31"/>
      <c r="J1014" s="11"/>
    </row>
    <row r="1015" spans="3:10" s="5" customFormat="1" x14ac:dyDescent="0.25">
      <c r="C1015" s="31"/>
      <c r="J1015" s="11"/>
    </row>
    <row r="1016" spans="3:10" s="5" customFormat="1" x14ac:dyDescent="0.25">
      <c r="C1016" s="31"/>
      <c r="J1016" s="11"/>
    </row>
    <row r="1017" spans="3:10" s="5" customFormat="1" x14ac:dyDescent="0.25">
      <c r="C1017" s="31"/>
      <c r="J1017" s="11"/>
    </row>
    <row r="1018" spans="3:10" s="5" customFormat="1" x14ac:dyDescent="0.25">
      <c r="C1018" s="31"/>
      <c r="J1018" s="11"/>
    </row>
    <row r="1019" spans="3:10" s="5" customFormat="1" x14ac:dyDescent="0.25">
      <c r="C1019" s="31"/>
      <c r="J1019" s="11"/>
    </row>
    <row r="1020" spans="3:10" s="5" customFormat="1" x14ac:dyDescent="0.25">
      <c r="C1020" s="31"/>
      <c r="J1020" s="11"/>
    </row>
    <row r="1021" spans="3:10" s="5" customFormat="1" x14ac:dyDescent="0.25">
      <c r="C1021" s="31"/>
      <c r="J1021" s="11"/>
    </row>
    <row r="1022" spans="3:10" s="5" customFormat="1" x14ac:dyDescent="0.25">
      <c r="C1022" s="31"/>
      <c r="J1022" s="11"/>
    </row>
    <row r="1023" spans="3:10" s="5" customFormat="1" x14ac:dyDescent="0.25">
      <c r="C1023" s="31"/>
      <c r="J1023" s="11"/>
    </row>
    <row r="1024" spans="3:10" s="5" customFormat="1" x14ac:dyDescent="0.25">
      <c r="C1024" s="31"/>
      <c r="J1024" s="11"/>
    </row>
    <row r="1025" spans="3:10" s="5" customFormat="1" x14ac:dyDescent="0.25">
      <c r="C1025" s="31"/>
      <c r="J1025" s="11"/>
    </row>
    <row r="1026" spans="3:10" s="5" customFormat="1" x14ac:dyDescent="0.25">
      <c r="C1026" s="31"/>
      <c r="J1026" s="11"/>
    </row>
    <row r="1027" spans="3:10" s="5" customFormat="1" x14ac:dyDescent="0.25">
      <c r="C1027" s="31"/>
      <c r="J1027" s="11"/>
    </row>
    <row r="1028" spans="3:10" s="5" customFormat="1" x14ac:dyDescent="0.25">
      <c r="C1028" s="31"/>
      <c r="J1028" s="11"/>
    </row>
    <row r="1029" spans="3:10" s="5" customFormat="1" x14ac:dyDescent="0.25">
      <c r="C1029" s="31"/>
      <c r="J1029" s="11"/>
    </row>
    <row r="1030" spans="3:10" s="5" customFormat="1" x14ac:dyDescent="0.25">
      <c r="C1030" s="31"/>
      <c r="J1030" s="11"/>
    </row>
    <row r="1031" spans="3:10" s="5" customFormat="1" x14ac:dyDescent="0.25">
      <c r="C1031" s="31"/>
      <c r="J1031" s="11"/>
    </row>
    <row r="1032" spans="3:10" s="5" customFormat="1" x14ac:dyDescent="0.25">
      <c r="C1032" s="31"/>
      <c r="J1032" s="11"/>
    </row>
    <row r="1033" spans="3:10" s="5" customFormat="1" x14ac:dyDescent="0.25">
      <c r="C1033" s="31"/>
      <c r="J1033" s="11"/>
    </row>
    <row r="1034" spans="3:10" s="5" customFormat="1" x14ac:dyDescent="0.25">
      <c r="C1034" s="31"/>
      <c r="J1034" s="11"/>
    </row>
    <row r="1035" spans="3:10" s="5" customFormat="1" x14ac:dyDescent="0.25">
      <c r="C1035" s="31"/>
      <c r="J1035" s="11"/>
    </row>
    <row r="1036" spans="3:10" s="5" customFormat="1" x14ac:dyDescent="0.25">
      <c r="C1036" s="31"/>
      <c r="J1036" s="11"/>
    </row>
    <row r="1037" spans="3:10" s="5" customFormat="1" x14ac:dyDescent="0.25">
      <c r="C1037" s="31"/>
      <c r="J1037" s="11"/>
    </row>
    <row r="1038" spans="3:10" s="5" customFormat="1" x14ac:dyDescent="0.25">
      <c r="C1038" s="31"/>
      <c r="J1038" s="11"/>
    </row>
    <row r="1039" spans="3:10" s="5" customFormat="1" x14ac:dyDescent="0.25">
      <c r="C1039" s="31"/>
      <c r="J1039" s="11"/>
    </row>
    <row r="1040" spans="3:10" s="5" customFormat="1" x14ac:dyDescent="0.25">
      <c r="C1040" s="31"/>
      <c r="J1040" s="11"/>
    </row>
    <row r="1041" spans="3:10" s="5" customFormat="1" x14ac:dyDescent="0.25">
      <c r="C1041" s="31"/>
      <c r="J1041" s="11"/>
    </row>
    <row r="1042" spans="3:10" s="5" customFormat="1" x14ac:dyDescent="0.25">
      <c r="C1042" s="31"/>
      <c r="J1042" s="11"/>
    </row>
    <row r="1043" spans="3:10" s="5" customFormat="1" x14ac:dyDescent="0.25">
      <c r="C1043" s="31"/>
      <c r="J1043" s="11"/>
    </row>
    <row r="1044" spans="3:10" s="5" customFormat="1" x14ac:dyDescent="0.25">
      <c r="C1044" s="31"/>
      <c r="J1044" s="11"/>
    </row>
    <row r="1045" spans="3:10" s="5" customFormat="1" x14ac:dyDescent="0.25">
      <c r="C1045" s="31"/>
      <c r="J1045" s="11"/>
    </row>
    <row r="1046" spans="3:10" s="5" customFormat="1" x14ac:dyDescent="0.25">
      <c r="C1046" s="31"/>
      <c r="J1046" s="11"/>
    </row>
    <row r="1047" spans="3:10" s="5" customFormat="1" x14ac:dyDescent="0.25">
      <c r="C1047" s="31"/>
      <c r="J1047" s="11"/>
    </row>
    <row r="1048" spans="3:10" s="5" customFormat="1" x14ac:dyDescent="0.25">
      <c r="C1048" s="31"/>
      <c r="J1048" s="11"/>
    </row>
    <row r="1049" spans="3:10" s="5" customFormat="1" x14ac:dyDescent="0.25">
      <c r="C1049" s="31"/>
      <c r="J1049" s="11"/>
    </row>
    <row r="1050" spans="3:10" s="5" customFormat="1" x14ac:dyDescent="0.25">
      <c r="C1050" s="31"/>
      <c r="J1050" s="11"/>
    </row>
    <row r="1051" spans="3:10" s="5" customFormat="1" x14ac:dyDescent="0.25">
      <c r="C1051" s="31"/>
      <c r="J1051" s="11"/>
    </row>
    <row r="1052" spans="3:10" s="5" customFormat="1" x14ac:dyDescent="0.25">
      <c r="C1052" s="31"/>
      <c r="J1052" s="11"/>
    </row>
    <row r="1053" spans="3:10" s="5" customFormat="1" x14ac:dyDescent="0.25">
      <c r="C1053" s="31"/>
      <c r="J1053" s="11"/>
    </row>
    <row r="1054" spans="3:10" s="5" customFormat="1" x14ac:dyDescent="0.25">
      <c r="C1054" s="31"/>
      <c r="J1054" s="11"/>
    </row>
    <row r="1055" spans="3:10" s="5" customFormat="1" x14ac:dyDescent="0.25">
      <c r="C1055" s="31"/>
      <c r="J1055" s="11"/>
    </row>
    <row r="1056" spans="3:10" s="5" customFormat="1" x14ac:dyDescent="0.25">
      <c r="C1056" s="31"/>
      <c r="J1056" s="11"/>
    </row>
    <row r="1057" spans="3:10" s="5" customFormat="1" x14ac:dyDescent="0.25">
      <c r="C1057" s="31"/>
      <c r="J1057" s="11"/>
    </row>
    <row r="1058" spans="3:10" s="5" customFormat="1" x14ac:dyDescent="0.25">
      <c r="C1058" s="31"/>
      <c r="J1058" s="11"/>
    </row>
    <row r="1059" spans="3:10" s="5" customFormat="1" x14ac:dyDescent="0.25">
      <c r="C1059" s="31"/>
      <c r="J1059" s="11"/>
    </row>
    <row r="1060" spans="3:10" s="5" customFormat="1" x14ac:dyDescent="0.25">
      <c r="C1060" s="31"/>
      <c r="J1060" s="11"/>
    </row>
    <row r="1061" spans="3:10" s="5" customFormat="1" x14ac:dyDescent="0.25">
      <c r="C1061" s="31"/>
      <c r="J1061" s="11"/>
    </row>
    <row r="1062" spans="3:10" s="5" customFormat="1" x14ac:dyDescent="0.25">
      <c r="C1062" s="31"/>
      <c r="J1062" s="11"/>
    </row>
    <row r="1063" spans="3:10" s="5" customFormat="1" x14ac:dyDescent="0.25">
      <c r="C1063" s="31"/>
      <c r="J1063" s="11"/>
    </row>
    <row r="1064" spans="3:10" s="5" customFormat="1" x14ac:dyDescent="0.25">
      <c r="C1064" s="31"/>
      <c r="J1064" s="11"/>
    </row>
    <row r="1065" spans="3:10" s="5" customFormat="1" x14ac:dyDescent="0.25">
      <c r="C1065" s="31"/>
      <c r="J1065" s="11"/>
    </row>
    <row r="1066" spans="3:10" s="5" customFormat="1" x14ac:dyDescent="0.25">
      <c r="C1066" s="31"/>
      <c r="J1066" s="11"/>
    </row>
    <row r="1067" spans="3:10" s="5" customFormat="1" x14ac:dyDescent="0.25">
      <c r="C1067" s="31"/>
      <c r="J1067" s="11"/>
    </row>
    <row r="1068" spans="3:10" s="5" customFormat="1" x14ac:dyDescent="0.25">
      <c r="C1068" s="31"/>
      <c r="J1068" s="11"/>
    </row>
    <row r="1069" spans="3:10" s="5" customFormat="1" x14ac:dyDescent="0.25">
      <c r="C1069" s="31"/>
      <c r="J1069" s="11"/>
    </row>
    <row r="1070" spans="3:10" s="5" customFormat="1" x14ac:dyDescent="0.25">
      <c r="C1070" s="31"/>
      <c r="J1070" s="11"/>
    </row>
    <row r="1071" spans="3:10" s="5" customFormat="1" x14ac:dyDescent="0.25">
      <c r="C1071" s="31"/>
      <c r="J1071" s="11"/>
    </row>
    <row r="1072" spans="3:10" s="5" customFormat="1" x14ac:dyDescent="0.25">
      <c r="C1072" s="31"/>
      <c r="J1072" s="11"/>
    </row>
    <row r="1073" spans="3:10" s="5" customFormat="1" x14ac:dyDescent="0.25">
      <c r="C1073" s="31"/>
      <c r="J1073" s="11"/>
    </row>
    <row r="1074" spans="3:10" s="5" customFormat="1" x14ac:dyDescent="0.25">
      <c r="C1074" s="31"/>
      <c r="J1074" s="11"/>
    </row>
    <row r="1075" spans="3:10" s="5" customFormat="1" x14ac:dyDescent="0.25">
      <c r="C1075" s="31"/>
      <c r="J1075" s="11"/>
    </row>
    <row r="1076" spans="3:10" s="5" customFormat="1" x14ac:dyDescent="0.25">
      <c r="C1076" s="31"/>
      <c r="J1076" s="11"/>
    </row>
    <row r="1077" spans="3:10" s="5" customFormat="1" x14ac:dyDescent="0.25">
      <c r="C1077" s="31"/>
      <c r="J1077" s="11"/>
    </row>
    <row r="1078" spans="3:10" s="5" customFormat="1" x14ac:dyDescent="0.25">
      <c r="C1078" s="31"/>
      <c r="J1078" s="11"/>
    </row>
    <row r="1079" spans="3:10" s="5" customFormat="1" x14ac:dyDescent="0.25">
      <c r="C1079" s="31"/>
      <c r="J1079" s="11"/>
    </row>
    <row r="1080" spans="3:10" s="5" customFormat="1" x14ac:dyDescent="0.25">
      <c r="C1080" s="31"/>
      <c r="J1080" s="11"/>
    </row>
    <row r="1081" spans="3:10" s="5" customFormat="1" x14ac:dyDescent="0.25">
      <c r="C1081" s="31"/>
      <c r="J1081" s="11"/>
    </row>
    <row r="1082" spans="3:10" s="5" customFormat="1" x14ac:dyDescent="0.25">
      <c r="C1082" s="31"/>
      <c r="J1082" s="11"/>
    </row>
    <row r="1083" spans="3:10" s="5" customFormat="1" x14ac:dyDescent="0.25">
      <c r="C1083" s="31"/>
      <c r="J1083" s="11"/>
    </row>
    <row r="1084" spans="3:10" s="5" customFormat="1" x14ac:dyDescent="0.25">
      <c r="C1084" s="31"/>
      <c r="J1084" s="11"/>
    </row>
    <row r="1085" spans="3:10" s="5" customFormat="1" x14ac:dyDescent="0.25">
      <c r="C1085" s="31"/>
      <c r="J1085" s="11"/>
    </row>
    <row r="1086" spans="3:10" s="5" customFormat="1" x14ac:dyDescent="0.25">
      <c r="C1086" s="31"/>
      <c r="J1086" s="11"/>
    </row>
    <row r="1087" spans="3:10" s="5" customFormat="1" x14ac:dyDescent="0.25">
      <c r="C1087" s="31"/>
      <c r="J1087" s="11"/>
    </row>
    <row r="1088" spans="3:10" s="5" customFormat="1" x14ac:dyDescent="0.25">
      <c r="C1088" s="31"/>
      <c r="J1088" s="11"/>
    </row>
    <row r="1089" spans="3:10" s="5" customFormat="1" x14ac:dyDescent="0.25">
      <c r="C1089" s="31"/>
      <c r="J1089" s="11"/>
    </row>
    <row r="1090" spans="3:10" s="5" customFormat="1" x14ac:dyDescent="0.25">
      <c r="C1090" s="31"/>
      <c r="J1090" s="11"/>
    </row>
    <row r="1091" spans="3:10" s="5" customFormat="1" x14ac:dyDescent="0.25">
      <c r="C1091" s="31"/>
      <c r="J1091" s="11"/>
    </row>
    <row r="1092" spans="3:10" s="5" customFormat="1" x14ac:dyDescent="0.25">
      <c r="C1092" s="31"/>
      <c r="J1092" s="11"/>
    </row>
    <row r="1093" spans="3:10" s="5" customFormat="1" x14ac:dyDescent="0.25">
      <c r="C1093" s="31"/>
      <c r="J1093" s="11"/>
    </row>
    <row r="1094" spans="3:10" s="5" customFormat="1" x14ac:dyDescent="0.25">
      <c r="C1094" s="31"/>
      <c r="J1094" s="11"/>
    </row>
    <row r="1095" spans="3:10" s="5" customFormat="1" x14ac:dyDescent="0.25">
      <c r="C1095" s="31"/>
      <c r="J1095" s="11"/>
    </row>
    <row r="1096" spans="3:10" s="5" customFormat="1" x14ac:dyDescent="0.25">
      <c r="C1096" s="31"/>
      <c r="J1096" s="11"/>
    </row>
    <row r="1097" spans="3:10" s="5" customFormat="1" x14ac:dyDescent="0.25">
      <c r="C1097" s="31"/>
      <c r="J1097" s="11"/>
    </row>
    <row r="1098" spans="3:10" s="5" customFormat="1" x14ac:dyDescent="0.25">
      <c r="C1098" s="31"/>
      <c r="J1098" s="11"/>
    </row>
    <row r="1099" spans="3:10" s="5" customFormat="1" x14ac:dyDescent="0.25">
      <c r="C1099" s="31"/>
      <c r="J1099" s="11"/>
    </row>
    <row r="1100" spans="3:10" s="5" customFormat="1" x14ac:dyDescent="0.25">
      <c r="C1100" s="31"/>
      <c r="J1100" s="11"/>
    </row>
    <row r="1101" spans="3:10" s="5" customFormat="1" x14ac:dyDescent="0.25">
      <c r="C1101" s="31"/>
      <c r="J1101" s="11"/>
    </row>
    <row r="1102" spans="3:10" s="5" customFormat="1" x14ac:dyDescent="0.25">
      <c r="C1102" s="31"/>
      <c r="J1102" s="11"/>
    </row>
    <row r="1103" spans="3:10" s="5" customFormat="1" x14ac:dyDescent="0.25">
      <c r="C1103" s="31"/>
      <c r="J1103" s="11"/>
    </row>
    <row r="1104" spans="3:10" s="5" customFormat="1" x14ac:dyDescent="0.25">
      <c r="C1104" s="31"/>
      <c r="J1104" s="11"/>
    </row>
    <row r="1105" spans="3:10" s="5" customFormat="1" x14ac:dyDescent="0.25">
      <c r="C1105" s="31"/>
      <c r="J1105" s="11"/>
    </row>
    <row r="1106" spans="3:10" s="5" customFormat="1" x14ac:dyDescent="0.25">
      <c r="C1106" s="31"/>
      <c r="J1106" s="11"/>
    </row>
    <row r="1107" spans="3:10" s="5" customFormat="1" x14ac:dyDescent="0.25">
      <c r="C1107" s="31"/>
      <c r="J1107" s="11"/>
    </row>
    <row r="1108" spans="3:10" s="5" customFormat="1" x14ac:dyDescent="0.25">
      <c r="C1108" s="31"/>
      <c r="J1108" s="11"/>
    </row>
    <row r="1109" spans="3:10" s="5" customFormat="1" x14ac:dyDescent="0.25">
      <c r="C1109" s="31"/>
      <c r="J1109" s="11"/>
    </row>
    <row r="1110" spans="3:10" s="5" customFormat="1" x14ac:dyDescent="0.25">
      <c r="C1110" s="31"/>
      <c r="J1110" s="11"/>
    </row>
    <row r="1111" spans="3:10" s="5" customFormat="1" x14ac:dyDescent="0.25">
      <c r="C1111" s="31"/>
      <c r="J1111" s="11"/>
    </row>
    <row r="1112" spans="3:10" s="5" customFormat="1" x14ac:dyDescent="0.25">
      <c r="C1112" s="31"/>
      <c r="J1112" s="11"/>
    </row>
    <row r="1113" spans="3:10" s="5" customFormat="1" x14ac:dyDescent="0.25">
      <c r="C1113" s="31"/>
      <c r="J1113" s="11"/>
    </row>
    <row r="1114" spans="3:10" s="5" customFormat="1" x14ac:dyDescent="0.25">
      <c r="C1114" s="31"/>
      <c r="J1114" s="11"/>
    </row>
    <row r="1115" spans="3:10" s="5" customFormat="1" x14ac:dyDescent="0.25">
      <c r="C1115" s="31"/>
      <c r="J1115" s="11"/>
    </row>
    <row r="1116" spans="3:10" s="5" customFormat="1" x14ac:dyDescent="0.25">
      <c r="C1116" s="31"/>
      <c r="J1116" s="11"/>
    </row>
    <row r="1117" spans="3:10" s="5" customFormat="1" x14ac:dyDescent="0.25">
      <c r="C1117" s="31"/>
      <c r="J1117" s="11"/>
    </row>
    <row r="1118" spans="3:10" s="5" customFormat="1" x14ac:dyDescent="0.25">
      <c r="C1118" s="31"/>
      <c r="J1118" s="11"/>
    </row>
    <row r="1119" spans="3:10" s="5" customFormat="1" x14ac:dyDescent="0.25">
      <c r="C1119" s="31"/>
      <c r="J1119" s="11"/>
    </row>
    <row r="1120" spans="3:10" s="5" customFormat="1" x14ac:dyDescent="0.25">
      <c r="C1120" s="31"/>
      <c r="J1120" s="11"/>
    </row>
    <row r="1121" spans="3:10" s="5" customFormat="1" x14ac:dyDescent="0.25">
      <c r="C1121" s="31"/>
      <c r="J1121" s="11"/>
    </row>
    <row r="1122" spans="3:10" s="5" customFormat="1" x14ac:dyDescent="0.25">
      <c r="C1122" s="31"/>
      <c r="J1122" s="11"/>
    </row>
    <row r="1123" spans="3:10" s="5" customFormat="1" x14ac:dyDescent="0.25">
      <c r="C1123" s="31"/>
      <c r="J1123" s="11"/>
    </row>
    <row r="1124" spans="3:10" s="5" customFormat="1" x14ac:dyDescent="0.25">
      <c r="C1124" s="31"/>
      <c r="J1124" s="11"/>
    </row>
    <row r="1125" spans="3:10" s="5" customFormat="1" x14ac:dyDescent="0.25">
      <c r="C1125" s="31"/>
      <c r="J1125" s="11"/>
    </row>
    <row r="1126" spans="3:10" s="5" customFormat="1" x14ac:dyDescent="0.25">
      <c r="C1126" s="31"/>
      <c r="J1126" s="11"/>
    </row>
    <row r="1127" spans="3:10" s="5" customFormat="1" x14ac:dyDescent="0.25">
      <c r="C1127" s="31"/>
      <c r="J1127" s="11"/>
    </row>
    <row r="1128" spans="3:10" s="5" customFormat="1" x14ac:dyDescent="0.25">
      <c r="C1128" s="31"/>
      <c r="J1128" s="11"/>
    </row>
    <row r="1129" spans="3:10" s="5" customFormat="1" x14ac:dyDescent="0.25">
      <c r="C1129" s="31"/>
      <c r="J1129" s="11"/>
    </row>
    <row r="1130" spans="3:10" s="5" customFormat="1" x14ac:dyDescent="0.25">
      <c r="C1130" s="31"/>
      <c r="J1130" s="11"/>
    </row>
    <row r="1131" spans="3:10" s="5" customFormat="1" x14ac:dyDescent="0.25">
      <c r="C1131" s="31"/>
      <c r="J1131" s="11"/>
    </row>
    <row r="1132" spans="3:10" s="5" customFormat="1" x14ac:dyDescent="0.25">
      <c r="C1132" s="31"/>
      <c r="J1132" s="11"/>
    </row>
    <row r="1133" spans="3:10" s="5" customFormat="1" x14ac:dyDescent="0.25">
      <c r="C1133" s="31"/>
      <c r="J1133" s="11"/>
    </row>
    <row r="1134" spans="3:10" s="5" customFormat="1" x14ac:dyDescent="0.25">
      <c r="C1134" s="31"/>
      <c r="J1134" s="11"/>
    </row>
    <row r="1135" spans="3:10" s="5" customFormat="1" x14ac:dyDescent="0.25">
      <c r="C1135" s="31"/>
      <c r="J1135" s="11"/>
    </row>
    <row r="1136" spans="3:10" s="5" customFormat="1" x14ac:dyDescent="0.25">
      <c r="C1136" s="31"/>
      <c r="J1136" s="11"/>
    </row>
    <row r="1137" spans="3:10" s="5" customFormat="1" x14ac:dyDescent="0.25">
      <c r="C1137" s="31"/>
      <c r="J1137" s="11"/>
    </row>
    <row r="1138" spans="3:10" s="5" customFormat="1" x14ac:dyDescent="0.25">
      <c r="C1138" s="31"/>
      <c r="J1138" s="11"/>
    </row>
    <row r="1139" spans="3:10" s="5" customFormat="1" x14ac:dyDescent="0.25">
      <c r="C1139" s="31"/>
      <c r="J1139" s="11"/>
    </row>
    <row r="1140" spans="3:10" s="5" customFormat="1" x14ac:dyDescent="0.25">
      <c r="C1140" s="31"/>
      <c r="J1140" s="11"/>
    </row>
    <row r="1141" spans="3:10" s="5" customFormat="1" x14ac:dyDescent="0.25">
      <c r="C1141" s="31"/>
      <c r="J1141" s="11"/>
    </row>
    <row r="1142" spans="3:10" s="5" customFormat="1" x14ac:dyDescent="0.25">
      <c r="C1142" s="31"/>
      <c r="J1142" s="11"/>
    </row>
    <row r="1143" spans="3:10" s="5" customFormat="1" x14ac:dyDescent="0.25">
      <c r="C1143" s="31"/>
      <c r="J1143" s="11"/>
    </row>
    <row r="1144" spans="3:10" s="5" customFormat="1" x14ac:dyDescent="0.25">
      <c r="C1144" s="31"/>
      <c r="J1144" s="11"/>
    </row>
    <row r="1145" spans="3:10" s="5" customFormat="1" x14ac:dyDescent="0.25">
      <c r="C1145" s="31"/>
      <c r="J1145" s="11"/>
    </row>
    <row r="1146" spans="3:10" s="5" customFormat="1" x14ac:dyDescent="0.25">
      <c r="C1146" s="31"/>
      <c r="J1146" s="11"/>
    </row>
    <row r="1147" spans="3:10" s="5" customFormat="1" x14ac:dyDescent="0.25">
      <c r="C1147" s="31"/>
      <c r="J1147" s="11"/>
    </row>
    <row r="1148" spans="3:10" s="5" customFormat="1" x14ac:dyDescent="0.25">
      <c r="C1148" s="31"/>
      <c r="J1148" s="11"/>
    </row>
    <row r="1149" spans="3:10" s="5" customFormat="1" x14ac:dyDescent="0.25">
      <c r="C1149" s="31"/>
      <c r="J1149" s="11"/>
    </row>
    <row r="1150" spans="3:10" s="5" customFormat="1" x14ac:dyDescent="0.25">
      <c r="C1150" s="31"/>
      <c r="J1150" s="11"/>
    </row>
    <row r="1151" spans="3:10" s="5" customFormat="1" x14ac:dyDescent="0.25">
      <c r="C1151" s="31"/>
      <c r="J1151" s="11"/>
    </row>
    <row r="1152" spans="3:10" s="5" customFormat="1" x14ac:dyDescent="0.25">
      <c r="C1152" s="31"/>
      <c r="J1152" s="11"/>
    </row>
    <row r="1153" spans="3:10" s="5" customFormat="1" x14ac:dyDescent="0.25">
      <c r="C1153" s="31"/>
      <c r="J1153" s="11"/>
    </row>
    <row r="1154" spans="3:10" s="5" customFormat="1" x14ac:dyDescent="0.25">
      <c r="C1154" s="31"/>
      <c r="J1154" s="11"/>
    </row>
    <row r="1155" spans="3:10" s="5" customFormat="1" x14ac:dyDescent="0.25">
      <c r="C1155" s="31"/>
      <c r="J1155" s="11"/>
    </row>
    <row r="1156" spans="3:10" s="5" customFormat="1" x14ac:dyDescent="0.25">
      <c r="C1156" s="31"/>
      <c r="J1156" s="11"/>
    </row>
    <row r="1157" spans="3:10" s="5" customFormat="1" x14ac:dyDescent="0.25">
      <c r="C1157" s="31"/>
      <c r="J1157" s="11"/>
    </row>
    <row r="1158" spans="3:10" s="5" customFormat="1" x14ac:dyDescent="0.25">
      <c r="C1158" s="31"/>
      <c r="J1158" s="11"/>
    </row>
    <row r="1159" spans="3:10" s="5" customFormat="1" x14ac:dyDescent="0.25">
      <c r="C1159" s="31"/>
      <c r="J1159" s="11"/>
    </row>
    <row r="1160" spans="3:10" s="5" customFormat="1" x14ac:dyDescent="0.25">
      <c r="C1160" s="31"/>
      <c r="J1160" s="11"/>
    </row>
    <row r="1161" spans="3:10" s="5" customFormat="1" x14ac:dyDescent="0.25">
      <c r="C1161" s="31"/>
      <c r="J1161" s="11"/>
    </row>
    <row r="1162" spans="3:10" s="5" customFormat="1" x14ac:dyDescent="0.25">
      <c r="C1162" s="31"/>
      <c r="J1162" s="11"/>
    </row>
    <row r="1163" spans="3:10" s="5" customFormat="1" x14ac:dyDescent="0.25">
      <c r="C1163" s="31"/>
      <c r="J1163" s="11"/>
    </row>
    <row r="1164" spans="3:10" s="5" customFormat="1" x14ac:dyDescent="0.25">
      <c r="C1164" s="31"/>
      <c r="J1164" s="11"/>
    </row>
    <row r="1165" spans="3:10" s="5" customFormat="1" x14ac:dyDescent="0.25">
      <c r="C1165" s="31"/>
      <c r="J1165" s="11"/>
    </row>
    <row r="1166" spans="3:10" s="5" customFormat="1" x14ac:dyDescent="0.25">
      <c r="C1166" s="31"/>
      <c r="J1166" s="11"/>
    </row>
    <row r="1167" spans="3:10" s="5" customFormat="1" x14ac:dyDescent="0.25">
      <c r="C1167" s="31"/>
      <c r="J1167" s="11"/>
    </row>
    <row r="1168" spans="3:10" s="5" customFormat="1" x14ac:dyDescent="0.25">
      <c r="C1168" s="31"/>
      <c r="J1168" s="11"/>
    </row>
    <row r="1169" spans="3:10" s="5" customFormat="1" x14ac:dyDescent="0.25">
      <c r="C1169" s="31"/>
      <c r="J1169" s="11"/>
    </row>
    <row r="1170" spans="3:10" s="5" customFormat="1" x14ac:dyDescent="0.25">
      <c r="C1170" s="31"/>
      <c r="J1170" s="11"/>
    </row>
    <row r="1171" spans="3:10" s="5" customFormat="1" x14ac:dyDescent="0.25">
      <c r="C1171" s="31"/>
      <c r="J1171" s="11"/>
    </row>
    <row r="1172" spans="3:10" s="5" customFormat="1" x14ac:dyDescent="0.25">
      <c r="C1172" s="31"/>
      <c r="J1172" s="11"/>
    </row>
    <row r="1173" spans="3:10" s="5" customFormat="1" x14ac:dyDescent="0.25">
      <c r="C1173" s="31"/>
      <c r="J1173" s="11"/>
    </row>
    <row r="1174" spans="3:10" s="5" customFormat="1" x14ac:dyDescent="0.25">
      <c r="C1174" s="31"/>
      <c r="J1174" s="11"/>
    </row>
    <row r="1175" spans="3:10" s="5" customFormat="1" x14ac:dyDescent="0.25">
      <c r="C1175" s="31"/>
      <c r="J1175" s="11"/>
    </row>
    <row r="1176" spans="3:10" s="5" customFormat="1" x14ac:dyDescent="0.25">
      <c r="C1176" s="31"/>
      <c r="J1176" s="11"/>
    </row>
    <row r="1177" spans="3:10" s="5" customFormat="1" x14ac:dyDescent="0.25">
      <c r="C1177" s="31"/>
      <c r="J1177" s="11"/>
    </row>
    <row r="1178" spans="3:10" s="5" customFormat="1" x14ac:dyDescent="0.25">
      <c r="C1178" s="31"/>
      <c r="J1178" s="11"/>
    </row>
    <row r="1179" spans="3:10" s="5" customFormat="1" x14ac:dyDescent="0.25">
      <c r="C1179" s="31"/>
      <c r="J1179" s="11"/>
    </row>
    <row r="1180" spans="3:10" s="5" customFormat="1" x14ac:dyDescent="0.25">
      <c r="C1180" s="31"/>
      <c r="J1180" s="11"/>
    </row>
    <row r="1181" spans="3:10" s="5" customFormat="1" x14ac:dyDescent="0.25">
      <c r="C1181" s="31"/>
      <c r="J1181" s="11"/>
    </row>
    <row r="1182" spans="3:10" s="5" customFormat="1" x14ac:dyDescent="0.25">
      <c r="C1182" s="31"/>
      <c r="J1182" s="11"/>
    </row>
    <row r="1183" spans="3:10" s="5" customFormat="1" x14ac:dyDescent="0.25">
      <c r="C1183" s="31"/>
      <c r="J1183" s="11"/>
    </row>
    <row r="1184" spans="3:10" s="5" customFormat="1" x14ac:dyDescent="0.25">
      <c r="C1184" s="31"/>
      <c r="J1184" s="11"/>
    </row>
    <row r="1185" spans="3:10" s="5" customFormat="1" x14ac:dyDescent="0.25">
      <c r="C1185" s="31"/>
      <c r="J1185" s="11"/>
    </row>
    <row r="1186" spans="3:10" s="5" customFormat="1" x14ac:dyDescent="0.25">
      <c r="C1186" s="31"/>
      <c r="J1186" s="11"/>
    </row>
    <row r="1187" spans="3:10" s="5" customFormat="1" x14ac:dyDescent="0.25">
      <c r="C1187" s="31"/>
      <c r="J1187" s="11"/>
    </row>
    <row r="1188" spans="3:10" s="5" customFormat="1" x14ac:dyDescent="0.25">
      <c r="C1188" s="31"/>
      <c r="J1188" s="11"/>
    </row>
    <row r="1189" spans="3:10" s="5" customFormat="1" x14ac:dyDescent="0.25">
      <c r="C1189" s="31"/>
      <c r="J1189" s="11"/>
    </row>
    <row r="1190" spans="3:10" s="5" customFormat="1" x14ac:dyDescent="0.25">
      <c r="C1190" s="31"/>
      <c r="J1190" s="11"/>
    </row>
    <row r="1191" spans="3:10" s="5" customFormat="1" x14ac:dyDescent="0.25">
      <c r="C1191" s="31"/>
      <c r="J1191" s="11"/>
    </row>
    <row r="1192" spans="3:10" s="5" customFormat="1" x14ac:dyDescent="0.25">
      <c r="C1192" s="31"/>
      <c r="J1192" s="11"/>
    </row>
    <row r="1193" spans="3:10" s="5" customFormat="1" x14ac:dyDescent="0.25">
      <c r="C1193" s="31"/>
      <c r="J1193" s="11"/>
    </row>
    <row r="1194" spans="3:10" s="5" customFormat="1" x14ac:dyDescent="0.25">
      <c r="C1194" s="31"/>
      <c r="J1194" s="11"/>
    </row>
    <row r="1195" spans="3:10" s="5" customFormat="1" x14ac:dyDescent="0.25">
      <c r="C1195" s="31"/>
      <c r="J1195" s="11"/>
    </row>
    <row r="1196" spans="3:10" s="5" customFormat="1" x14ac:dyDescent="0.25">
      <c r="C1196" s="31"/>
      <c r="J1196" s="11"/>
    </row>
    <row r="1197" spans="3:10" s="5" customFormat="1" x14ac:dyDescent="0.25">
      <c r="C1197" s="31"/>
      <c r="J1197" s="11"/>
    </row>
    <row r="1198" spans="3:10" s="5" customFormat="1" x14ac:dyDescent="0.25">
      <c r="C1198" s="31"/>
      <c r="J1198" s="11"/>
    </row>
    <row r="1199" spans="3:10" s="5" customFormat="1" x14ac:dyDescent="0.25">
      <c r="C1199" s="31"/>
      <c r="J1199" s="11"/>
    </row>
    <row r="1200" spans="3:10" s="5" customFormat="1" x14ac:dyDescent="0.25">
      <c r="C1200" s="31"/>
      <c r="J1200" s="11"/>
    </row>
    <row r="1201" spans="3:10" s="5" customFormat="1" x14ac:dyDescent="0.25">
      <c r="C1201" s="31"/>
      <c r="J1201" s="11"/>
    </row>
    <row r="1202" spans="3:10" s="5" customFormat="1" x14ac:dyDescent="0.25">
      <c r="C1202" s="31"/>
      <c r="J1202" s="11"/>
    </row>
    <row r="1203" spans="3:10" s="5" customFormat="1" x14ac:dyDescent="0.25">
      <c r="C1203" s="31"/>
      <c r="J1203" s="11"/>
    </row>
  </sheetData>
  <mergeCells count="3">
    <mergeCell ref="A6:G8"/>
    <mergeCell ref="A953:L955"/>
    <mergeCell ref="A957:L961"/>
  </mergeCells>
  <pageMargins left="0.7" right="0.7" top="0.75" bottom="0.75" header="0.3" footer="0.3"/>
  <headerFooter>
    <oddFooter>&amp;C_x000D_&amp;1#&amp;"Calibri"&amp;10&amp;K000000 PUBLIC</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9FBD0-F472-409D-B12C-AA3921E847FF}">
  <dimension ref="A5:X37"/>
  <sheetViews>
    <sheetView workbookViewId="0">
      <selection activeCell="A10" sqref="A10"/>
    </sheetView>
  </sheetViews>
  <sheetFormatPr defaultColWidth="15.5703125" defaultRowHeight="15" x14ac:dyDescent="0.25"/>
  <cols>
    <col min="1" max="1" width="40.5703125" style="1" customWidth="1"/>
    <col min="2" max="2" width="82.28515625" style="1" customWidth="1"/>
    <col min="3" max="16384" width="15.5703125" style="1"/>
  </cols>
  <sheetData>
    <row r="5" spans="1:6" ht="15.75" thickBot="1" x14ac:dyDescent="0.3"/>
    <row r="6" spans="1:6" ht="15" customHeight="1" thickTop="1" x14ac:dyDescent="0.25">
      <c r="A6" s="48" t="s">
        <v>0</v>
      </c>
      <c r="B6" s="49"/>
      <c r="C6" s="49"/>
      <c r="D6" s="49"/>
      <c r="E6" s="49"/>
      <c r="F6" s="49"/>
    </row>
    <row r="7" spans="1:6" x14ac:dyDescent="0.25">
      <c r="A7" s="51"/>
      <c r="B7" s="52"/>
      <c r="C7" s="52"/>
      <c r="D7" s="52"/>
      <c r="E7" s="52"/>
      <c r="F7" s="52"/>
    </row>
    <row r="8" spans="1:6" ht="15.75" thickBot="1" x14ac:dyDescent="0.3">
      <c r="A8" s="54"/>
      <c r="B8" s="55"/>
      <c r="C8" s="55"/>
      <c r="D8" s="55"/>
      <c r="E8" s="55"/>
      <c r="F8" s="55"/>
    </row>
    <row r="9" spans="1:6" ht="15.75" thickTop="1" x14ac:dyDescent="0.25"/>
    <row r="10" spans="1:6" ht="23.25" x14ac:dyDescent="0.35">
      <c r="A10" s="2" t="s">
        <v>1</v>
      </c>
    </row>
    <row r="11" spans="1:6" ht="15.75" x14ac:dyDescent="0.25">
      <c r="A11" s="3" t="str">
        <f>'Managed Funds'!A11</f>
        <v>As at 08 September 2025</v>
      </c>
    </row>
    <row r="12" spans="1:6" x14ac:dyDescent="0.25">
      <c r="A12" s="33" t="s">
        <v>6149</v>
      </c>
    </row>
    <row r="14" spans="1:6" x14ac:dyDescent="0.25">
      <c r="A14" s="7" t="s">
        <v>6150</v>
      </c>
      <c r="B14" s="7" t="s">
        <v>6151</v>
      </c>
    </row>
    <row r="15" spans="1:6" x14ac:dyDescent="0.25">
      <c r="A15" s="8" t="s">
        <v>6152</v>
      </c>
      <c r="B15" s="8" t="s">
        <v>6153</v>
      </c>
    </row>
    <row r="16" spans="1:6" x14ac:dyDescent="0.25">
      <c r="A16" s="8" t="s">
        <v>6154</v>
      </c>
      <c r="B16" s="8" t="s">
        <v>6155</v>
      </c>
    </row>
    <row r="17" spans="1:24" x14ac:dyDescent="0.25">
      <c r="A17" s="8" t="s">
        <v>6156</v>
      </c>
      <c r="B17" s="8" t="s">
        <v>6157</v>
      </c>
    </row>
    <row r="18" spans="1:24" x14ac:dyDescent="0.25">
      <c r="A18" s="8" t="s">
        <v>6158</v>
      </c>
      <c r="B18" s="8" t="s">
        <v>6159</v>
      </c>
    </row>
    <row r="19" spans="1:24" x14ac:dyDescent="0.25">
      <c r="A19" s="8" t="s">
        <v>6160</v>
      </c>
      <c r="B19" s="8" t="s">
        <v>6161</v>
      </c>
    </row>
    <row r="20" spans="1:24" x14ac:dyDescent="0.25">
      <c r="A20" s="8" t="s">
        <v>6162</v>
      </c>
      <c r="B20" s="8" t="s">
        <v>6163</v>
      </c>
    </row>
    <row r="21" spans="1:24" x14ac:dyDescent="0.25">
      <c r="A21" s="8" t="s">
        <v>6164</v>
      </c>
      <c r="B21" s="8" t="s">
        <v>6165</v>
      </c>
    </row>
    <row r="22" spans="1:24" x14ac:dyDescent="0.25">
      <c r="A22" s="8" t="s">
        <v>3916</v>
      </c>
      <c r="B22" s="8" t="s">
        <v>6166</v>
      </c>
    </row>
    <row r="23" spans="1:24" x14ac:dyDescent="0.25">
      <c r="A23" s="8" t="s">
        <v>6167</v>
      </c>
      <c r="B23" s="8" t="s">
        <v>6168</v>
      </c>
    </row>
    <row r="24" spans="1:24" x14ac:dyDescent="0.25">
      <c r="A24" s="8" t="s">
        <v>2374</v>
      </c>
      <c r="B24" s="8" t="s">
        <v>6169</v>
      </c>
    </row>
    <row r="25" spans="1:24" x14ac:dyDescent="0.25">
      <c r="A25" s="8" t="s">
        <v>6170</v>
      </c>
      <c r="B25" s="8" t="s">
        <v>6171</v>
      </c>
    </row>
    <row r="26" spans="1:24" x14ac:dyDescent="0.25">
      <c r="A26" s="8" t="s">
        <v>6172</v>
      </c>
      <c r="B26" s="8" t="s">
        <v>6173</v>
      </c>
    </row>
    <row r="28" spans="1:24" ht="33" customHeight="1" x14ac:dyDescent="0.25">
      <c r="A28" s="59" t="s">
        <v>6174</v>
      </c>
      <c r="B28" s="59"/>
      <c r="C28" s="59"/>
      <c r="D28" s="59"/>
      <c r="E28" s="59"/>
      <c r="F28" s="59"/>
    </row>
    <row r="30" spans="1:24" ht="15" customHeight="1" x14ac:dyDescent="0.25">
      <c r="A30" s="63" t="s">
        <v>1512</v>
      </c>
      <c r="B30" s="63"/>
      <c r="C30" s="63"/>
      <c r="D30" s="63"/>
      <c r="E30" s="63"/>
      <c r="F30" s="63"/>
      <c r="G30" s="7"/>
      <c r="H30" s="7"/>
      <c r="I30" s="7"/>
      <c r="J30" s="7"/>
      <c r="K30" s="7"/>
      <c r="L30" s="7"/>
      <c r="M30" s="7"/>
      <c r="N30" s="7"/>
      <c r="O30" s="7"/>
      <c r="P30" s="7"/>
      <c r="Q30" s="7"/>
      <c r="R30" s="7"/>
      <c r="S30" s="7"/>
      <c r="T30" s="7"/>
      <c r="U30" s="7"/>
      <c r="V30" s="7"/>
      <c r="W30" s="7"/>
      <c r="X30" s="7"/>
    </row>
    <row r="31" spans="1:24" x14ac:dyDescent="0.25">
      <c r="A31" s="63"/>
      <c r="B31" s="63"/>
      <c r="C31" s="63"/>
      <c r="D31" s="63"/>
      <c r="E31" s="63"/>
      <c r="F31" s="63"/>
      <c r="G31" s="7"/>
      <c r="H31" s="7"/>
      <c r="I31" s="7"/>
      <c r="J31" s="7"/>
      <c r="K31" s="7"/>
      <c r="L31" s="7"/>
      <c r="M31" s="7"/>
      <c r="N31" s="7"/>
      <c r="O31" s="7"/>
      <c r="P31" s="7"/>
      <c r="Q31" s="7"/>
      <c r="R31" s="7"/>
      <c r="S31" s="7"/>
      <c r="T31" s="7"/>
      <c r="U31" s="7"/>
      <c r="V31" s="7"/>
      <c r="W31" s="7"/>
      <c r="X31" s="7"/>
    </row>
    <row r="32" spans="1:24" x14ac:dyDescent="0.25">
      <c r="A32" s="63"/>
      <c r="B32" s="63"/>
      <c r="C32" s="63"/>
      <c r="D32" s="63"/>
      <c r="E32" s="63"/>
      <c r="F32" s="63"/>
      <c r="G32" s="7"/>
      <c r="H32" s="7"/>
      <c r="I32" s="7"/>
      <c r="J32" s="7"/>
      <c r="K32" s="7"/>
      <c r="L32" s="7"/>
      <c r="M32" s="7"/>
      <c r="N32" s="7"/>
      <c r="O32" s="7"/>
      <c r="P32" s="7"/>
      <c r="Q32" s="7"/>
      <c r="R32" s="7"/>
      <c r="S32" s="7"/>
      <c r="T32" s="7"/>
      <c r="U32" s="7"/>
      <c r="V32" s="7"/>
      <c r="W32" s="7"/>
      <c r="X32" s="7"/>
    </row>
    <row r="33" spans="1:24" x14ac:dyDescent="0.25">
      <c r="A33" s="63"/>
      <c r="B33" s="63"/>
      <c r="C33" s="63"/>
      <c r="D33" s="63"/>
      <c r="E33" s="63"/>
      <c r="F33" s="63"/>
      <c r="G33" s="7"/>
      <c r="H33" s="7"/>
      <c r="I33" s="7"/>
      <c r="J33" s="7"/>
      <c r="K33" s="7"/>
      <c r="L33" s="7"/>
      <c r="M33" s="7"/>
      <c r="N33" s="7"/>
      <c r="O33" s="7"/>
      <c r="P33" s="7"/>
      <c r="Q33" s="7"/>
      <c r="R33" s="7"/>
      <c r="S33" s="7"/>
      <c r="T33" s="7"/>
      <c r="U33" s="7"/>
      <c r="V33" s="7"/>
      <c r="W33" s="7"/>
      <c r="X33" s="7"/>
    </row>
    <row r="34" spans="1:24" x14ac:dyDescent="0.25">
      <c r="A34" s="63"/>
      <c r="B34" s="63"/>
      <c r="C34" s="63"/>
      <c r="D34" s="63"/>
      <c r="E34" s="63"/>
      <c r="F34" s="63"/>
      <c r="G34" s="7"/>
      <c r="H34" s="7"/>
      <c r="I34" s="7"/>
      <c r="J34" s="7"/>
      <c r="K34" s="7"/>
      <c r="L34" s="7"/>
      <c r="M34" s="7"/>
      <c r="N34" s="7"/>
      <c r="O34" s="7"/>
      <c r="P34" s="7"/>
      <c r="Q34" s="7"/>
      <c r="R34" s="7"/>
      <c r="S34" s="7"/>
      <c r="T34" s="7"/>
      <c r="U34" s="7"/>
      <c r="V34" s="7"/>
      <c r="W34" s="7"/>
      <c r="X34" s="7"/>
    </row>
    <row r="35" spans="1:24" x14ac:dyDescent="0.25">
      <c r="A35" s="63"/>
      <c r="B35" s="63"/>
      <c r="C35" s="63"/>
      <c r="D35" s="63"/>
      <c r="E35" s="63"/>
      <c r="F35" s="63"/>
      <c r="G35" s="7"/>
      <c r="H35" s="7"/>
      <c r="I35" s="7"/>
      <c r="J35" s="7"/>
      <c r="K35" s="7"/>
      <c r="L35" s="7"/>
      <c r="M35" s="7"/>
      <c r="N35" s="7"/>
      <c r="O35" s="7"/>
      <c r="P35" s="7"/>
      <c r="Q35" s="7"/>
      <c r="R35" s="7"/>
      <c r="S35" s="7"/>
      <c r="T35" s="7"/>
      <c r="U35" s="7"/>
      <c r="V35" s="7"/>
      <c r="W35" s="7"/>
      <c r="X35" s="7"/>
    </row>
    <row r="36" spans="1:24" x14ac:dyDescent="0.25">
      <c r="A36" s="63"/>
      <c r="B36" s="63"/>
      <c r="C36" s="63"/>
      <c r="D36" s="63"/>
      <c r="E36" s="63"/>
      <c r="F36" s="63"/>
      <c r="G36" s="7"/>
      <c r="H36" s="7"/>
      <c r="I36" s="7"/>
      <c r="J36" s="7"/>
      <c r="K36" s="7"/>
      <c r="L36" s="7"/>
      <c r="M36" s="7"/>
      <c r="N36" s="7"/>
      <c r="O36" s="7"/>
      <c r="P36" s="7"/>
      <c r="Q36" s="7"/>
      <c r="R36" s="7"/>
      <c r="S36" s="7"/>
      <c r="T36" s="7"/>
      <c r="U36" s="7"/>
      <c r="V36" s="7"/>
      <c r="W36" s="7"/>
      <c r="X36" s="7"/>
    </row>
    <row r="37" spans="1:24" x14ac:dyDescent="0.25">
      <c r="A37" s="7"/>
      <c r="B37" s="7"/>
      <c r="C37" s="7"/>
      <c r="D37" s="7"/>
      <c r="E37" s="7"/>
      <c r="F37" s="7"/>
      <c r="G37" s="7"/>
      <c r="H37" s="7"/>
      <c r="I37" s="7"/>
      <c r="J37" s="7"/>
      <c r="K37" s="7"/>
      <c r="L37" s="7"/>
      <c r="M37" s="7"/>
      <c r="N37" s="7"/>
      <c r="O37" s="7"/>
      <c r="P37" s="7"/>
      <c r="Q37" s="7"/>
      <c r="R37" s="7"/>
      <c r="S37" s="7"/>
      <c r="T37" s="7"/>
      <c r="U37" s="7"/>
      <c r="V37" s="7"/>
      <c r="W37" s="7"/>
      <c r="X37" s="7"/>
    </row>
  </sheetData>
  <mergeCells count="3">
    <mergeCell ref="A6:F8"/>
    <mergeCell ref="A30:F36"/>
    <mergeCell ref="A28:F28"/>
  </mergeCells>
  <pageMargins left="0.7" right="0.7" top="0.75" bottom="0.75" header="0.3" footer="0.3"/>
  <headerFooter>
    <oddFooter>&amp;C_x000D_&amp;1#&amp;"Calibri"&amp;10&amp;K000000 PUBLIC</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590c24b-a06e-4c81-89fd-c66d09c853eb" xsi:nil="true"/>
    <lcf76f155ced4ddcb4097134ff3c332f xmlns="8f8963ff-3fdd-4821-b82e-9bbe9854425c">
      <Terms xmlns="http://schemas.microsoft.com/office/infopath/2007/PartnerControls"/>
    </lcf76f155ced4ddcb4097134ff3c332f>
    <Location xmlns="8f8963ff-3fdd-4821-b82e-9bbe985442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29C9A634E58C47AE765A4F5B99A169" ma:contentTypeVersion="22" ma:contentTypeDescription="Create a new document." ma:contentTypeScope="" ma:versionID="e4e3009630378e21b6859294b5473a65">
  <xsd:schema xmlns:xsd="http://www.w3.org/2001/XMLSchema" xmlns:xs="http://www.w3.org/2001/XMLSchema" xmlns:p="http://schemas.microsoft.com/office/2006/metadata/properties" xmlns:ns2="8f8963ff-3fdd-4821-b82e-9bbe9854425c" xmlns:ns3="d590c24b-a06e-4c81-89fd-c66d09c853eb" targetNamespace="http://schemas.microsoft.com/office/2006/metadata/properties" ma:root="true" ma:fieldsID="f87d3ea4427f3ae628a4da0d5fa35f68" ns2:_="" ns3:_="">
    <xsd:import namespace="8f8963ff-3fdd-4821-b82e-9bbe9854425c"/>
    <xsd:import namespace="d590c24b-a06e-4c81-89fd-c66d09c853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Location" minOccurs="0"/>
                <xsd:element ref="ns2:c9528748-f3cc-4505-90c6-713bc124eac9CountryOrRegion" minOccurs="0"/>
                <xsd:element ref="ns2:c9528748-f3cc-4505-90c6-713bc124eac9State" minOccurs="0"/>
                <xsd:element ref="ns2:c9528748-f3cc-4505-90c6-713bc124eac9City" minOccurs="0"/>
                <xsd:element ref="ns2:c9528748-f3cc-4505-90c6-713bc124eac9PostalCode" minOccurs="0"/>
                <xsd:element ref="ns2:c9528748-f3cc-4505-90c6-713bc124eac9Street" minOccurs="0"/>
                <xsd:element ref="ns2:c9528748-f3cc-4505-90c6-713bc124eac9GeoLoc" minOccurs="0"/>
                <xsd:element ref="ns2:c9528748-f3cc-4505-90c6-713bc124eac9DispNam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963ff-3fdd-4821-b82e-9bbe98544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f943dd0-d7b1-47fe-86f9-65af85c2aae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ocation" ma:index="20" nillable="true" ma:displayName="Location" ma:format="Dropdown" ma:internalName="Location">
      <xsd:simpleType>
        <xsd:restriction base="dms:Unknown"/>
      </xsd:simpleType>
    </xsd:element>
    <xsd:element name="c9528748-f3cc-4505-90c6-713bc124eac9CountryOrRegion" ma:index="21" nillable="true" ma:displayName="Location: Country/Region" ma:internalName="CountryOrRegion" ma:readOnly="true">
      <xsd:simpleType>
        <xsd:restriction base="dms:Text"/>
      </xsd:simpleType>
    </xsd:element>
    <xsd:element name="c9528748-f3cc-4505-90c6-713bc124eac9State" ma:index="22" nillable="true" ma:displayName="Location: State" ma:internalName="State" ma:readOnly="true">
      <xsd:simpleType>
        <xsd:restriction base="dms:Text"/>
      </xsd:simpleType>
    </xsd:element>
    <xsd:element name="c9528748-f3cc-4505-90c6-713bc124eac9City" ma:index="23" nillable="true" ma:displayName="Location: City" ma:internalName="City" ma:readOnly="true">
      <xsd:simpleType>
        <xsd:restriction base="dms:Text"/>
      </xsd:simpleType>
    </xsd:element>
    <xsd:element name="c9528748-f3cc-4505-90c6-713bc124eac9PostalCode" ma:index="24" nillable="true" ma:displayName="Location: Postal Code" ma:internalName="PostalCode" ma:readOnly="true">
      <xsd:simpleType>
        <xsd:restriction base="dms:Text"/>
      </xsd:simpleType>
    </xsd:element>
    <xsd:element name="c9528748-f3cc-4505-90c6-713bc124eac9Street" ma:index="25" nillable="true" ma:displayName="Location: Street" ma:internalName="Street" ma:readOnly="true">
      <xsd:simpleType>
        <xsd:restriction base="dms:Text"/>
      </xsd:simpleType>
    </xsd:element>
    <xsd:element name="c9528748-f3cc-4505-90c6-713bc124eac9GeoLoc" ma:index="26" nillable="true" ma:displayName="Location: Coordinates" ma:internalName="GeoLoc" ma:readOnly="true">
      <xsd:simpleType>
        <xsd:restriction base="dms:Unknown"/>
      </xsd:simpleType>
    </xsd:element>
    <xsd:element name="c9528748-f3cc-4505-90c6-713bc124eac9DispName" ma:index="27" nillable="true" ma:displayName="Location: Name" ma:internalName="DispName"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90c24b-a06e-4c81-89fd-c66d09c853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f1e3a3b-692f-4306-9f98-d6c5781e7bba}" ma:internalName="TaxCatchAll" ma:showField="CatchAllData" ma:web="d590c24b-a06e-4c81-89fd-c66d09c85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F304F-6470-4130-8ACF-1C799BF6DDBB}">
  <ds:schemaRefs>
    <ds:schemaRef ds:uri="http://schemas.microsoft.com/office/2006/metadata/properties"/>
    <ds:schemaRef ds:uri="http://schemas.microsoft.com/office/infopath/2007/PartnerControls"/>
    <ds:schemaRef ds:uri="d590c24b-a06e-4c81-89fd-c66d09c853eb"/>
    <ds:schemaRef ds:uri="8f8963ff-3fdd-4821-b82e-9bbe9854425c"/>
  </ds:schemaRefs>
</ds:datastoreItem>
</file>

<file path=customXml/itemProps2.xml><?xml version="1.0" encoding="utf-8"?>
<ds:datastoreItem xmlns:ds="http://schemas.openxmlformats.org/officeDocument/2006/customXml" ds:itemID="{46EB5331-E850-42CB-9656-BF5A01ECF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963ff-3fdd-4821-b82e-9bbe9854425c"/>
    <ds:schemaRef ds:uri="d590c24b-a06e-4c81-89fd-c66d09c85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23DA5D-0BC2-4BF5-915C-0AE6D0645515}">
  <ds:schemaRefs>
    <ds:schemaRef ds:uri="http://schemas.microsoft.com/sharepoint/v3/contenttype/forms"/>
  </ds:schemaRefs>
</ds:datastoreItem>
</file>

<file path=docMetadata/LabelInfo.xml><?xml version="1.0" encoding="utf-8"?>
<clbl:labelList xmlns:clbl="http://schemas.microsoft.com/office/2020/mipLabelMetadata">
  <clbl:label id="{5063e319-45ad-4a29-8b35-f14cb92c2f91}" enabled="1" method="Privileged" siteId="{7384b0a5-f18a-43f4-8d60-f71b7ba245b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Managed Funds</vt:lpstr>
      <vt:lpstr>Wholesale Investments</vt:lpstr>
      <vt:lpstr>Managed Accounts</vt:lpstr>
      <vt:lpstr>Australian Listed Securities</vt:lpstr>
      <vt:lpstr>International Listed Securities</vt:lpstr>
      <vt:lpstr>Available Currencies</vt:lpstr>
      <vt:lpstr>'Australian Listed Securities'!Print_Titles</vt:lpstr>
      <vt:lpstr>'Managed Accounts'!Print_Titles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Wendon, Nicholas</dc:creator>
  <cp:keywords/>
  <dc:description/>
  <cp:lastModifiedBy>Jigger Diaz</cp:lastModifiedBy>
  <cp:revision/>
  <dcterms:created xsi:type="dcterms:W3CDTF">2022-12-09T18:25:31Z</dcterms:created>
  <dcterms:modified xsi:type="dcterms:W3CDTF">2025-09-08T05:07:49Z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0x010100A229C9A634E58C47AE765A4F5B99A169</vt:lpwstr>
  </property>
  <property fmtid="{D5CDD505-2E9C-101B-9397-08002B2CF9AE}" pid="3" name="MSIP_Label_7a41e45d-23b2-4b9b-8824-4250be488857_Enabled">
    <vt:lpwstr>true</vt:lpwstr>
  </property>
  <property fmtid="{D5CDD505-2E9C-101B-9397-08002B2CF9AE}" pid="4" name="MSIP_Label_7a41e45d-23b2-4b9b-8824-4250be488857_SetDate">
    <vt:lpwstr>2023-02-01T22:53:49Z</vt:lpwstr>
  </property>
  <property fmtid="{D5CDD505-2E9C-101B-9397-08002B2CF9AE}" pid="5" name="MSIP_Label_7a41e45d-23b2-4b9b-8824-4250be488857_Method">
    <vt:lpwstr>Privileged</vt:lpwstr>
  </property>
  <property fmtid="{D5CDD505-2E9C-101B-9397-08002B2CF9AE}" pid="6" name="MSIP_Label_7a41e45d-23b2-4b9b-8824-4250be488857_Name">
    <vt:lpwstr>7a41e45d-23b2-4b9b-8824-4250be488857</vt:lpwstr>
  </property>
  <property fmtid="{D5CDD505-2E9C-101B-9397-08002B2CF9AE}" pid="7" name="MSIP_Label_7a41e45d-23b2-4b9b-8824-4250be488857_SiteId">
    <vt:lpwstr>dddffba0-6c17-4f34-9748-3fa5e08cc366</vt:lpwstr>
  </property>
  <property fmtid="{D5CDD505-2E9C-101B-9397-08002B2CF9AE}" pid="8" name="MSIP_Label_7a41e45d-23b2-4b9b-8824-4250be488857_ActionId">
    <vt:lpwstr>2332a201-8aaa-498e-9c90-76d94492dd32</vt:lpwstr>
  </property>
  <property fmtid="{D5CDD505-2E9C-101B-9397-08002B2CF9AE}" pid="9" name="MSIP_Label_7a41e45d-23b2-4b9b-8824-4250be488857_ContentBits">
    <vt:lpwstr>3</vt:lpwstr>
  </property>
  <property fmtid="{D5CDD505-2E9C-101B-9397-08002B2CF9AE}" pid="10" name="MSIP_Label_71f5e209-6f2a-4b58-b4ec-8fd798c3d2df_Enabled">
    <vt:lpwstr>true</vt:lpwstr>
  </property>
  <property fmtid="{D5CDD505-2E9C-101B-9397-08002B2CF9AE}" pid="11" name="MSIP_Label_71f5e209-6f2a-4b58-b4ec-8fd798c3d2df_SetDate">
    <vt:lpwstr>2023-07-25T00:13:20Z</vt:lpwstr>
  </property>
  <property fmtid="{D5CDD505-2E9C-101B-9397-08002B2CF9AE}" pid="12" name="MSIP_Label_71f5e209-6f2a-4b58-b4ec-8fd798c3d2df_Method">
    <vt:lpwstr>Privileged</vt:lpwstr>
  </property>
  <property fmtid="{D5CDD505-2E9C-101B-9397-08002B2CF9AE}" pid="13" name="MSIP_Label_71f5e209-6f2a-4b58-b4ec-8fd798c3d2df_Name">
    <vt:lpwstr>Protected</vt:lpwstr>
  </property>
  <property fmtid="{D5CDD505-2E9C-101B-9397-08002B2CF9AE}" pid="14" name="MSIP_Label_71f5e209-6f2a-4b58-b4ec-8fd798c3d2df_SiteId">
    <vt:lpwstr>c1aa44b8-e725-4ded-a329-8b8cedb3dbf1</vt:lpwstr>
  </property>
  <property fmtid="{D5CDD505-2E9C-101B-9397-08002B2CF9AE}" pid="15" name="MSIP_Label_71f5e209-6f2a-4b58-b4ec-8fd798c3d2df_ActionId">
    <vt:lpwstr>439e28b3-2492-467d-b592-0aed5fd73cdb</vt:lpwstr>
  </property>
  <property fmtid="{D5CDD505-2E9C-101B-9397-08002B2CF9AE}" pid="16" name="MSIP_Label_71f5e209-6f2a-4b58-b4ec-8fd798c3d2df_ContentBits">
    <vt:lpwstr>2</vt:lpwstr>
  </property>
  <property fmtid="{D5CDD505-2E9C-101B-9397-08002B2CF9AE}" pid="17" name="MediaServiceImageTags">
    <vt:lpwstr/>
  </property>
</Properties>
</file>